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450" activeTab="4"/>
  </bookViews>
  <sheets>
    <sheet name="bieu 12 (PL05)" sheetId="3" r:id="rId1"/>
    <sheet name="bieu 19 (PL 06)" sheetId="8" r:id="rId2"/>
    <sheet name="bieu 13( PL 07)" sheetId="5" r:id="rId3"/>
    <sheet name="bieu 14(PL08)" sheetId="4" r:id="rId4"/>
    <sheet name="bieu 17(09)" sheetId="7" r:id="rId5"/>
    <sheet name="bieu tong thu(PL10)" sheetId="9" r:id="rId6"/>
    <sheet name="bieu xa (PL11)" sheetId="6" r:id="rId7"/>
    <sheet name="Sheet1" sheetId="10" state="hidden" r:id="rId8"/>
  </sheets>
  <definedNames>
    <definedName name="_xlnm.Print_Area" localSheetId="3">'bieu 14(PL08)'!$A$1:$I$33</definedName>
    <definedName name="_xlnm.Print_Area" localSheetId="5">'bieu tong thu(PL10)'!$A$1:$E$21</definedName>
    <definedName name="_xlnm.Print_Titles" localSheetId="0">'bieu 12 (PL05)'!$5:$6</definedName>
    <definedName name="_xlnm.Print_Titles" localSheetId="2">'bieu 13( PL 07)'!$6:$8</definedName>
    <definedName name="_xlnm.Print_Titles" localSheetId="3">'bieu 14(PL08)'!$5:$6</definedName>
    <definedName name="_xlnm.Print_Titles" localSheetId="4">'bieu 17(09)'!$5:$6</definedName>
    <definedName name="_xlnm.Print_Titles" localSheetId="1">'bieu 19 (PL 06)'!$5:$6</definedName>
  </definedNames>
  <calcPr calcId="144525"/>
</workbook>
</file>

<file path=xl/calcChain.xml><?xml version="1.0" encoding="utf-8"?>
<calcChain xmlns="http://schemas.openxmlformats.org/spreadsheetml/2006/main">
  <c r="O10" i="6" l="1"/>
  <c r="O11" i="6"/>
  <c r="O12" i="6"/>
  <c r="N12" i="6" s="1"/>
  <c r="J12" i="6" s="1"/>
  <c r="O13" i="6"/>
  <c r="O14" i="6"/>
  <c r="O15" i="6"/>
  <c r="N15" i="6" s="1"/>
  <c r="O16" i="6"/>
  <c r="O17" i="6"/>
  <c r="N17" i="6" s="1"/>
  <c r="J17" i="6" s="1"/>
  <c r="O18" i="6"/>
  <c r="O19" i="6"/>
  <c r="O20" i="6"/>
  <c r="N20" i="6" s="1"/>
  <c r="O21" i="6"/>
  <c r="O22" i="6"/>
  <c r="O23" i="6"/>
  <c r="N23" i="6" s="1"/>
  <c r="O9" i="6"/>
  <c r="N9" i="6" s="1"/>
  <c r="K10" i="6"/>
  <c r="K11" i="6"/>
  <c r="K12" i="6"/>
  <c r="K8" i="6" s="1"/>
  <c r="K13" i="6"/>
  <c r="K14" i="6"/>
  <c r="K15" i="6"/>
  <c r="K16" i="6"/>
  <c r="K17" i="6"/>
  <c r="K18" i="6"/>
  <c r="K19" i="6"/>
  <c r="K20" i="6"/>
  <c r="K21" i="6"/>
  <c r="K22" i="6"/>
  <c r="K23" i="6"/>
  <c r="K9" i="6"/>
  <c r="I10" i="6"/>
  <c r="I8" i="6" s="1"/>
  <c r="I11" i="6"/>
  <c r="I12" i="6"/>
  <c r="I13" i="6"/>
  <c r="I14" i="6"/>
  <c r="I15" i="6"/>
  <c r="I16" i="6"/>
  <c r="I17" i="6"/>
  <c r="I18" i="6"/>
  <c r="I19" i="6"/>
  <c r="I20" i="6"/>
  <c r="I21" i="6"/>
  <c r="I22" i="6"/>
  <c r="I23" i="6"/>
  <c r="I9" i="6"/>
  <c r="N22" i="6"/>
  <c r="N21" i="6"/>
  <c r="J21" i="6" s="1"/>
  <c r="N18" i="6"/>
  <c r="J18" i="6" s="1"/>
  <c r="N16" i="6"/>
  <c r="J16" i="6"/>
  <c r="N14" i="6"/>
  <c r="J14" i="6" s="1"/>
  <c r="N13" i="6"/>
  <c r="N11" i="6"/>
  <c r="J11" i="6" s="1"/>
  <c r="N10" i="6"/>
  <c r="J10" i="6" s="1"/>
  <c r="P8" i="6"/>
  <c r="M8" i="6"/>
  <c r="L8" i="6"/>
  <c r="F8" i="7"/>
  <c r="F43" i="7"/>
  <c r="C8" i="7"/>
  <c r="C43" i="7"/>
  <c r="C26" i="7"/>
  <c r="C13" i="7" s="1"/>
  <c r="C72" i="7"/>
  <c r="F11" i="7"/>
  <c r="F12" i="7"/>
  <c r="F10" i="7"/>
  <c r="F28" i="7"/>
  <c r="F29" i="7"/>
  <c r="F30" i="7"/>
  <c r="F31" i="7"/>
  <c r="F32" i="7"/>
  <c r="F33" i="7"/>
  <c r="F34" i="7"/>
  <c r="F35" i="7"/>
  <c r="F36" i="7"/>
  <c r="F37" i="7"/>
  <c r="F38" i="7"/>
  <c r="F39" i="7"/>
  <c r="F40" i="7"/>
  <c r="F41" i="7"/>
  <c r="F42" i="7"/>
  <c r="F27" i="7"/>
  <c r="F17" i="7"/>
  <c r="F18" i="7"/>
  <c r="F19" i="7"/>
  <c r="F20" i="7"/>
  <c r="F21" i="7"/>
  <c r="F22" i="7"/>
  <c r="F23" i="7"/>
  <c r="F24" i="7"/>
  <c r="F25" i="7"/>
  <c r="F16" i="7"/>
  <c r="F76" i="7"/>
  <c r="F77" i="7"/>
  <c r="F75" i="7"/>
  <c r="F74" i="7"/>
  <c r="F73" i="7"/>
  <c r="F71" i="7"/>
  <c r="F70" i="7"/>
  <c r="F64" i="7"/>
  <c r="F65" i="7"/>
  <c r="F66" i="7"/>
  <c r="F67" i="7"/>
  <c r="F68" i="7"/>
  <c r="F69" i="7"/>
  <c r="F63" i="7"/>
  <c r="C62" i="7"/>
  <c r="G62" i="7" s="1"/>
  <c r="F58" i="7"/>
  <c r="F59" i="7"/>
  <c r="F60" i="7"/>
  <c r="F61" i="7"/>
  <c r="F57" i="7"/>
  <c r="C56" i="7"/>
  <c r="G56" i="7" s="1"/>
  <c r="F46" i="7"/>
  <c r="F47" i="7"/>
  <c r="F48" i="7"/>
  <c r="F49" i="7"/>
  <c r="F50" i="7"/>
  <c r="F51" i="7"/>
  <c r="F52" i="7"/>
  <c r="F53" i="7"/>
  <c r="F54" i="7"/>
  <c r="F55" i="7"/>
  <c r="F45" i="7"/>
  <c r="E44" i="7"/>
  <c r="C44" i="7"/>
  <c r="C15" i="7"/>
  <c r="C14" i="7" s="1"/>
  <c r="G10" i="7"/>
  <c r="G11" i="7"/>
  <c r="G12" i="7"/>
  <c r="G16" i="7"/>
  <c r="G17" i="7"/>
  <c r="G18" i="7"/>
  <c r="G19" i="7"/>
  <c r="G22" i="7"/>
  <c r="G23" i="7"/>
  <c r="G24" i="7"/>
  <c r="G25" i="7"/>
  <c r="G27" i="7"/>
  <c r="G28" i="7"/>
  <c r="G42" i="7"/>
  <c r="G45" i="7"/>
  <c r="G46" i="7"/>
  <c r="G47" i="7"/>
  <c r="G48" i="7"/>
  <c r="G49" i="7"/>
  <c r="G50" i="7"/>
  <c r="G51" i="7"/>
  <c r="G52" i="7"/>
  <c r="G53" i="7"/>
  <c r="G54" i="7"/>
  <c r="G55" i="7"/>
  <c r="G57" i="7"/>
  <c r="G58" i="7"/>
  <c r="G59" i="7"/>
  <c r="G60" i="7"/>
  <c r="G61" i="7"/>
  <c r="G63" i="7"/>
  <c r="G64" i="7"/>
  <c r="G65" i="7"/>
  <c r="G66" i="7"/>
  <c r="G67" i="7"/>
  <c r="G68" i="7"/>
  <c r="G69" i="7"/>
  <c r="G70" i="7"/>
  <c r="G71" i="7"/>
  <c r="G72" i="7"/>
  <c r="G73" i="7"/>
  <c r="G74" i="7"/>
  <c r="G75" i="7"/>
  <c r="G76" i="7"/>
  <c r="G77" i="7"/>
  <c r="C9" i="7"/>
  <c r="G9" i="7" s="1"/>
  <c r="C8" i="4"/>
  <c r="C13" i="4"/>
  <c r="G23" i="4"/>
  <c r="F13" i="4"/>
  <c r="F11" i="4"/>
  <c r="F12" i="4"/>
  <c r="F14" i="4"/>
  <c r="F16" i="4"/>
  <c r="F17" i="4"/>
  <c r="F18" i="4"/>
  <c r="F19" i="4"/>
  <c r="F20" i="4"/>
  <c r="F21" i="4"/>
  <c r="F22" i="4"/>
  <c r="F25" i="4"/>
  <c r="F26" i="4"/>
  <c r="F27" i="4"/>
  <c r="F28" i="4"/>
  <c r="F29" i="4"/>
  <c r="F30" i="4"/>
  <c r="F31" i="4"/>
  <c r="F32" i="4"/>
  <c r="F33" i="4"/>
  <c r="G9" i="4"/>
  <c r="G11" i="4"/>
  <c r="G12" i="4"/>
  <c r="G14" i="4"/>
  <c r="G16" i="4"/>
  <c r="G17" i="4"/>
  <c r="G18" i="4"/>
  <c r="G21" i="4"/>
  <c r="G22" i="4"/>
  <c r="G25" i="4"/>
  <c r="G28" i="4"/>
  <c r="G29" i="4"/>
  <c r="G30" i="4"/>
  <c r="G33" i="4"/>
  <c r="H9" i="4"/>
  <c r="F9" i="4"/>
  <c r="J10" i="5"/>
  <c r="J11" i="5"/>
  <c r="J12" i="5"/>
  <c r="J13" i="5"/>
  <c r="J14" i="5"/>
  <c r="J15" i="5"/>
  <c r="J16" i="5"/>
  <c r="J17" i="5"/>
  <c r="J18" i="5"/>
  <c r="J19" i="5"/>
  <c r="J20" i="5"/>
  <c r="J21" i="5"/>
  <c r="J22" i="5"/>
  <c r="J23" i="5"/>
  <c r="J24" i="5"/>
  <c r="J25" i="5"/>
  <c r="J26" i="5"/>
  <c r="J27" i="5"/>
  <c r="J28" i="5"/>
  <c r="J32" i="5"/>
  <c r="J36" i="5"/>
  <c r="J37" i="5"/>
  <c r="J38" i="5"/>
  <c r="J39" i="5"/>
  <c r="J40" i="5"/>
  <c r="J41" i="5"/>
  <c r="J42" i="5"/>
  <c r="J43" i="5"/>
  <c r="J44" i="5"/>
  <c r="J48" i="5"/>
  <c r="J49" i="5"/>
  <c r="J50" i="5"/>
  <c r="J51" i="5"/>
  <c r="J52" i="5"/>
  <c r="J54" i="5"/>
  <c r="J55" i="5"/>
  <c r="I10" i="5"/>
  <c r="I11" i="5"/>
  <c r="I12" i="5"/>
  <c r="I13" i="5"/>
  <c r="I14" i="5"/>
  <c r="I15" i="5"/>
  <c r="I16" i="5"/>
  <c r="I17" i="5"/>
  <c r="I18" i="5"/>
  <c r="I19" i="5"/>
  <c r="I20" i="5"/>
  <c r="I21" i="5"/>
  <c r="I22" i="5"/>
  <c r="I23" i="5"/>
  <c r="I24" i="5"/>
  <c r="I25" i="5"/>
  <c r="I26" i="5"/>
  <c r="I27" i="5"/>
  <c r="I28" i="5"/>
  <c r="I32" i="5"/>
  <c r="I36" i="5"/>
  <c r="I37" i="5"/>
  <c r="I38" i="5"/>
  <c r="I39" i="5"/>
  <c r="I40" i="5"/>
  <c r="I41" i="5"/>
  <c r="I42" i="5"/>
  <c r="I43" i="5"/>
  <c r="I44" i="5"/>
  <c r="I48" i="5"/>
  <c r="I49" i="5"/>
  <c r="I50" i="5"/>
  <c r="I51" i="5"/>
  <c r="I52" i="5"/>
  <c r="I54" i="5"/>
  <c r="I55" i="5"/>
  <c r="I57" i="5"/>
  <c r="I58" i="5"/>
  <c r="J9" i="5"/>
  <c r="I9" i="5"/>
  <c r="L28" i="5"/>
  <c r="K27" i="5"/>
  <c r="D55" i="5"/>
  <c r="D54" i="5" s="1"/>
  <c r="C54" i="5"/>
  <c r="D48" i="5"/>
  <c r="D45" i="5"/>
  <c r="D37" i="5"/>
  <c r="D36" i="5"/>
  <c r="D32" i="5"/>
  <c r="D28" i="5"/>
  <c r="D27" i="5" s="1"/>
  <c r="C27" i="5"/>
  <c r="D18" i="5"/>
  <c r="C18" i="5"/>
  <c r="C10" i="5" s="1"/>
  <c r="C9" i="5" s="1"/>
  <c r="F33" i="8"/>
  <c r="F34" i="8"/>
  <c r="C30" i="8"/>
  <c r="C27" i="8"/>
  <c r="G24" i="8"/>
  <c r="F24" i="8"/>
  <c r="C22" i="8"/>
  <c r="C20" i="8" s="1"/>
  <c r="G11" i="8"/>
  <c r="G15" i="8"/>
  <c r="G16" i="8"/>
  <c r="F15" i="8"/>
  <c r="F16" i="8"/>
  <c r="F17" i="8"/>
  <c r="F18" i="8"/>
  <c r="F19" i="8"/>
  <c r="F11" i="8"/>
  <c r="F10" i="8" s="1"/>
  <c r="C13" i="8"/>
  <c r="C10" i="8"/>
  <c r="F28" i="3"/>
  <c r="F29" i="3"/>
  <c r="F30" i="3"/>
  <c r="F31" i="3"/>
  <c r="F32" i="3"/>
  <c r="F33" i="3"/>
  <c r="F27" i="3"/>
  <c r="F11" i="3"/>
  <c r="F9" i="3" s="1"/>
  <c r="F8" i="3" s="1"/>
  <c r="F12" i="3"/>
  <c r="F13" i="3"/>
  <c r="F14" i="3"/>
  <c r="F15" i="3"/>
  <c r="F10" i="3"/>
  <c r="G8" i="3"/>
  <c r="G9" i="3"/>
  <c r="G11" i="3"/>
  <c r="G12" i="3"/>
  <c r="G16" i="3"/>
  <c r="G17" i="3"/>
  <c r="G18" i="3"/>
  <c r="G20" i="3"/>
  <c r="G21" i="3"/>
  <c r="G22" i="3"/>
  <c r="G26" i="3"/>
  <c r="G27" i="3"/>
  <c r="G28" i="3"/>
  <c r="G30" i="3"/>
  <c r="G31" i="3"/>
  <c r="G32" i="3"/>
  <c r="G33" i="3"/>
  <c r="I10" i="3"/>
  <c r="G10" i="3"/>
  <c r="F22" i="3"/>
  <c r="F23" i="3"/>
  <c r="F24" i="3"/>
  <c r="F25" i="3"/>
  <c r="F21" i="3"/>
  <c r="F17" i="3"/>
  <c r="H8" i="3"/>
  <c r="C26" i="3"/>
  <c r="C20" i="3"/>
  <c r="C17" i="3"/>
  <c r="E16" i="3"/>
  <c r="C9" i="3"/>
  <c r="C8" i="3" s="1"/>
  <c r="C10" i="9"/>
  <c r="C9" i="9" s="1"/>
  <c r="E31" i="4"/>
  <c r="E25" i="7"/>
  <c r="I29" i="7"/>
  <c r="I30" i="7"/>
  <c r="I31" i="7"/>
  <c r="I32" i="7"/>
  <c r="I33" i="7"/>
  <c r="I34" i="7"/>
  <c r="I35" i="7"/>
  <c r="I36" i="7"/>
  <c r="I37" i="7"/>
  <c r="E26" i="7"/>
  <c r="E54" i="7"/>
  <c r="E15" i="7"/>
  <c r="E17" i="4"/>
  <c r="E11" i="7"/>
  <c r="E12" i="7" s="1"/>
  <c r="D25" i="7"/>
  <c r="D54" i="7"/>
  <c r="I21" i="7"/>
  <c r="I20" i="7"/>
  <c r="L38" i="5"/>
  <c r="L39" i="5"/>
  <c r="L40" i="5"/>
  <c r="L41" i="5"/>
  <c r="L42" i="5"/>
  <c r="L43" i="5"/>
  <c r="L44" i="5"/>
  <c r="L49" i="5"/>
  <c r="L50" i="5"/>
  <c r="L51" i="5"/>
  <c r="L52" i="5"/>
  <c r="K36" i="5"/>
  <c r="K37" i="5"/>
  <c r="K38" i="5"/>
  <c r="K39" i="5"/>
  <c r="K40" i="5"/>
  <c r="K41" i="5"/>
  <c r="K42" i="5"/>
  <c r="K43" i="5"/>
  <c r="K44" i="5"/>
  <c r="K49" i="5"/>
  <c r="K50" i="5"/>
  <c r="K51" i="5"/>
  <c r="K52" i="5"/>
  <c r="K55" i="5"/>
  <c r="K57" i="5"/>
  <c r="K58" i="5"/>
  <c r="K32" i="5"/>
  <c r="K28" i="5"/>
  <c r="G48" i="5"/>
  <c r="K48" i="5" s="1"/>
  <c r="X23" i="6"/>
  <c r="X22" i="6"/>
  <c r="X21" i="6"/>
  <c r="X20" i="6"/>
  <c r="X19" i="6"/>
  <c r="X18" i="6"/>
  <c r="X17" i="6"/>
  <c r="X16" i="6"/>
  <c r="X15" i="6"/>
  <c r="X14" i="6"/>
  <c r="X13" i="6"/>
  <c r="X12" i="6"/>
  <c r="X11" i="6"/>
  <c r="X10" i="6"/>
  <c r="X9" i="6"/>
  <c r="N19" i="6" l="1"/>
  <c r="J19" i="6" s="1"/>
  <c r="O8" i="6"/>
  <c r="J15" i="6"/>
  <c r="J23" i="6"/>
  <c r="J20" i="6"/>
  <c r="J22" i="6"/>
  <c r="J13" i="6"/>
  <c r="J9" i="6"/>
  <c r="G26" i="7"/>
  <c r="F72" i="7"/>
  <c r="F62" i="7"/>
  <c r="F15" i="7"/>
  <c r="F14" i="7" s="1"/>
  <c r="G15" i="7"/>
  <c r="F9" i="7"/>
  <c r="F26" i="7"/>
  <c r="F56" i="7"/>
  <c r="G43" i="7"/>
  <c r="F44" i="7"/>
  <c r="G44" i="7"/>
  <c r="G13" i="7"/>
  <c r="G14" i="7"/>
  <c r="F23" i="4"/>
  <c r="C10" i="4"/>
  <c r="G13" i="4"/>
  <c r="D10" i="5"/>
  <c r="D9" i="5" s="1"/>
  <c r="C26" i="8"/>
  <c r="C9" i="8"/>
  <c r="F26" i="3"/>
  <c r="F20" i="3"/>
  <c r="F16" i="3" s="1"/>
  <c r="C16" i="3"/>
  <c r="D18" i="3"/>
  <c r="D13" i="9"/>
  <c r="D10" i="9" s="1"/>
  <c r="D9" i="9" s="1"/>
  <c r="H22" i="3"/>
  <c r="H67" i="7"/>
  <c r="E29" i="4"/>
  <c r="I29" i="4" s="1"/>
  <c r="E62" i="7"/>
  <c r="H27" i="4"/>
  <c r="E20" i="4"/>
  <c r="I20" i="4" s="1"/>
  <c r="D25" i="4"/>
  <c r="H66" i="7"/>
  <c r="H69" i="7"/>
  <c r="I68" i="7"/>
  <c r="I69" i="7"/>
  <c r="D62" i="7"/>
  <c r="H31" i="7"/>
  <c r="H21" i="7"/>
  <c r="D31" i="3"/>
  <c r="D32" i="8"/>
  <c r="D28" i="8"/>
  <c r="E11" i="8"/>
  <c r="F48" i="5"/>
  <c r="L48" i="5" s="1"/>
  <c r="E7" i="10"/>
  <c r="E8" i="10"/>
  <c r="E9" i="10"/>
  <c r="E10" i="10"/>
  <c r="E11" i="10"/>
  <c r="E12" i="10"/>
  <c r="E13" i="10"/>
  <c r="E14" i="10"/>
  <c r="E15" i="10"/>
  <c r="E16" i="10"/>
  <c r="E17" i="10"/>
  <c r="E18" i="10"/>
  <c r="E19" i="10"/>
  <c r="E20" i="10"/>
  <c r="D21" i="10"/>
  <c r="F21" i="10"/>
  <c r="C21" i="10"/>
  <c r="E6" i="10"/>
  <c r="E21" i="10"/>
  <c r="W10" i="6"/>
  <c r="W11" i="6"/>
  <c r="V11" i="6" s="1"/>
  <c r="R11" i="6" s="1"/>
  <c r="W12" i="6"/>
  <c r="W13" i="6"/>
  <c r="V13" i="6" s="1"/>
  <c r="R13" i="6" s="1"/>
  <c r="W14" i="6"/>
  <c r="W15" i="6"/>
  <c r="W16" i="6"/>
  <c r="W17" i="6"/>
  <c r="W18" i="6"/>
  <c r="W19" i="6"/>
  <c r="V19" i="6" s="1"/>
  <c r="R19" i="6" s="1"/>
  <c r="W20" i="6"/>
  <c r="W21" i="6"/>
  <c r="V21" i="6" s="1"/>
  <c r="R21" i="6" s="1"/>
  <c r="W22" i="6"/>
  <c r="W23" i="6"/>
  <c r="W9" i="6"/>
  <c r="F9" i="6"/>
  <c r="F10" i="6"/>
  <c r="F11" i="6"/>
  <c r="F8" i="6" s="1"/>
  <c r="F12" i="6"/>
  <c r="F13" i="6"/>
  <c r="F14" i="6"/>
  <c r="F15" i="6"/>
  <c r="F16" i="6"/>
  <c r="F17" i="6"/>
  <c r="F18" i="6"/>
  <c r="F19" i="6"/>
  <c r="F20" i="6"/>
  <c r="F21" i="6"/>
  <c r="F22" i="6"/>
  <c r="F23" i="6"/>
  <c r="G8" i="6"/>
  <c r="D23" i="8"/>
  <c r="H8" i="6"/>
  <c r="E18" i="3"/>
  <c r="D21" i="3"/>
  <c r="D10" i="3"/>
  <c r="E10" i="3" s="1"/>
  <c r="D11" i="3"/>
  <c r="E19" i="4"/>
  <c r="I19" i="4" s="1"/>
  <c r="E18" i="4"/>
  <c r="I18" i="4" s="1"/>
  <c r="I17" i="4"/>
  <c r="D15" i="7"/>
  <c r="D14" i="7" s="1"/>
  <c r="H20" i="7"/>
  <c r="E14" i="7"/>
  <c r="H19" i="7"/>
  <c r="I19" i="7"/>
  <c r="H18" i="7"/>
  <c r="I18" i="7"/>
  <c r="I17" i="7"/>
  <c r="H17" i="7"/>
  <c r="I16" i="7"/>
  <c r="H16" i="7"/>
  <c r="E25" i="4"/>
  <c r="I25" i="4" s="1"/>
  <c r="E28" i="4"/>
  <c r="I28" i="4" s="1"/>
  <c r="H34" i="7"/>
  <c r="H30" i="7"/>
  <c r="H36" i="7"/>
  <c r="H37" i="7"/>
  <c r="L11" i="5"/>
  <c r="L12" i="5"/>
  <c r="L13" i="5"/>
  <c r="L14" i="5"/>
  <c r="L15" i="5"/>
  <c r="L16" i="5"/>
  <c r="L17" i="5"/>
  <c r="L19" i="5"/>
  <c r="L20" i="5"/>
  <c r="L21" i="5"/>
  <c r="L22" i="5"/>
  <c r="L23" i="5"/>
  <c r="L24" i="5"/>
  <c r="L25" i="5"/>
  <c r="L26" i="5"/>
  <c r="K11" i="5"/>
  <c r="K12" i="5"/>
  <c r="K13" i="5"/>
  <c r="K14" i="5"/>
  <c r="K15" i="5"/>
  <c r="K16" i="5"/>
  <c r="K17" i="5"/>
  <c r="K19" i="5"/>
  <c r="K20" i="5"/>
  <c r="K21" i="5"/>
  <c r="K22" i="5"/>
  <c r="K23" i="5"/>
  <c r="K24" i="5"/>
  <c r="K25" i="5"/>
  <c r="K26" i="5"/>
  <c r="H55" i="5"/>
  <c r="H54" i="5" s="1"/>
  <c r="G54" i="5"/>
  <c r="H45" i="5"/>
  <c r="H37" i="5"/>
  <c r="H36" i="5"/>
  <c r="H32" i="5"/>
  <c r="H28" i="5"/>
  <c r="G27" i="5"/>
  <c r="H18" i="5"/>
  <c r="L18" i="5" s="1"/>
  <c r="G18" i="5"/>
  <c r="K18" i="5" s="1"/>
  <c r="E14" i="4"/>
  <c r="H14" i="4" s="1"/>
  <c r="X8" i="6"/>
  <c r="E24" i="8" s="1"/>
  <c r="E15" i="8" s="1"/>
  <c r="H15" i="8" s="1"/>
  <c r="E13" i="4"/>
  <c r="I13" i="4" s="1"/>
  <c r="E33" i="4"/>
  <c r="H33" i="4" s="1"/>
  <c r="E11" i="4"/>
  <c r="H11" i="4" s="1"/>
  <c r="E23" i="4"/>
  <c r="H23" i="4" s="1"/>
  <c r="E9" i="4"/>
  <c r="H31" i="4"/>
  <c r="D24" i="4"/>
  <c r="D8" i="6"/>
  <c r="U8" i="6"/>
  <c r="E34" i="8" s="1"/>
  <c r="H34" i="8" s="1"/>
  <c r="E33" i="3"/>
  <c r="I33" i="3" s="1"/>
  <c r="E31" i="3"/>
  <c r="I31" i="3" s="1"/>
  <c r="D26" i="3"/>
  <c r="I71" i="7"/>
  <c r="H32" i="7"/>
  <c r="H33" i="7"/>
  <c r="S10" i="6"/>
  <c r="S11" i="6"/>
  <c r="S12" i="6"/>
  <c r="S13" i="6"/>
  <c r="S14" i="6"/>
  <c r="S15" i="6"/>
  <c r="S16" i="6"/>
  <c r="S17" i="6"/>
  <c r="S8" i="6" s="1"/>
  <c r="S18" i="6"/>
  <c r="S19" i="6"/>
  <c r="S20" i="6"/>
  <c r="S21" i="6"/>
  <c r="S22" i="6"/>
  <c r="S23" i="6"/>
  <c r="S9" i="6"/>
  <c r="H30" i="3"/>
  <c r="T8" i="6"/>
  <c r="E33" i="8" s="1"/>
  <c r="H33" i="8" s="1"/>
  <c r="A3" i="6"/>
  <c r="A3" i="9"/>
  <c r="A3" i="7"/>
  <c r="A3" i="4"/>
  <c r="A3" i="5"/>
  <c r="A3" i="8"/>
  <c r="H75" i="7"/>
  <c r="D9" i="4"/>
  <c r="E54" i="5"/>
  <c r="D44" i="7"/>
  <c r="Q10" i="6"/>
  <c r="Q11" i="6"/>
  <c r="Q12" i="6"/>
  <c r="Q13" i="6"/>
  <c r="Q14" i="6"/>
  <c r="Q15" i="6"/>
  <c r="Q16" i="6"/>
  <c r="Q17" i="6"/>
  <c r="Q18" i="6"/>
  <c r="Q19" i="6"/>
  <c r="Q20" i="6"/>
  <c r="Q21" i="6"/>
  <c r="Q22" i="6"/>
  <c r="Q23" i="6"/>
  <c r="Q9" i="6"/>
  <c r="Q8" i="6" s="1"/>
  <c r="E12" i="4"/>
  <c r="H12" i="4" s="1"/>
  <c r="E24" i="4"/>
  <c r="I64" i="7"/>
  <c r="H59" i="7"/>
  <c r="E56" i="7"/>
  <c r="D56" i="7"/>
  <c r="H55" i="7"/>
  <c r="H54" i="7"/>
  <c r="H50" i="7"/>
  <c r="H48" i="7"/>
  <c r="D26" i="7"/>
  <c r="I26" i="7" s="1"/>
  <c r="E15" i="4"/>
  <c r="D15" i="4"/>
  <c r="E16" i="4"/>
  <c r="H16" i="4" s="1"/>
  <c r="F32" i="5"/>
  <c r="L32" i="5" s="1"/>
  <c r="E17" i="9"/>
  <c r="V10" i="6"/>
  <c r="R10" i="6" s="1"/>
  <c r="V12" i="6"/>
  <c r="R12" i="6" s="1"/>
  <c r="V14" i="6"/>
  <c r="R14" i="6" s="1"/>
  <c r="V15" i="6"/>
  <c r="R15" i="6"/>
  <c r="V16" i="6"/>
  <c r="R16" i="6" s="1"/>
  <c r="V17" i="6"/>
  <c r="R17" i="6" s="1"/>
  <c r="V18" i="6"/>
  <c r="R18" i="6" s="1"/>
  <c r="V20" i="6"/>
  <c r="R20" i="6" s="1"/>
  <c r="V22" i="6"/>
  <c r="R22" i="6" s="1"/>
  <c r="V23" i="6"/>
  <c r="R23" i="6" s="1"/>
  <c r="H32" i="3"/>
  <c r="D20" i="3"/>
  <c r="D22" i="8"/>
  <c r="G22" i="8" s="1"/>
  <c r="H31" i="3"/>
  <c r="H23" i="7"/>
  <c r="H24" i="7"/>
  <c r="I42" i="7"/>
  <c r="V9" i="6"/>
  <c r="R9" i="6" s="1"/>
  <c r="H17" i="8"/>
  <c r="H18" i="8"/>
  <c r="E18" i="9"/>
  <c r="E16" i="9"/>
  <c r="E15" i="9"/>
  <c r="E14" i="9"/>
  <c r="E12" i="9"/>
  <c r="E11" i="9"/>
  <c r="C8" i="6"/>
  <c r="H71" i="7"/>
  <c r="H45" i="7"/>
  <c r="H49" i="7"/>
  <c r="H52" i="7"/>
  <c r="I45" i="7"/>
  <c r="I46" i="7"/>
  <c r="I47" i="7"/>
  <c r="I48" i="7"/>
  <c r="I49" i="7"/>
  <c r="I50" i="7"/>
  <c r="I51" i="7"/>
  <c r="I52" i="7"/>
  <c r="I53" i="7"/>
  <c r="I55" i="7"/>
  <c r="I57" i="7"/>
  <c r="I58" i="7"/>
  <c r="I59" i="7"/>
  <c r="I60" i="7"/>
  <c r="I61" i="7"/>
  <c r="I65" i="7"/>
  <c r="I66" i="7"/>
  <c r="I73" i="7"/>
  <c r="H46" i="7"/>
  <c r="H47" i="7"/>
  <c r="H51" i="7"/>
  <c r="H53" i="7"/>
  <c r="H58" i="7"/>
  <c r="H60" i="7"/>
  <c r="H61" i="7"/>
  <c r="H65" i="7"/>
  <c r="D9" i="7"/>
  <c r="H10" i="7"/>
  <c r="H19" i="3"/>
  <c r="H16" i="8"/>
  <c r="H19" i="8"/>
  <c r="H25" i="8"/>
  <c r="H29" i="8"/>
  <c r="E12" i="8"/>
  <c r="E10" i="8" s="1"/>
  <c r="H12" i="8"/>
  <c r="H10" i="8" s="1"/>
  <c r="H11" i="8"/>
  <c r="H25" i="4"/>
  <c r="F55" i="5"/>
  <c r="L55" i="5" s="1"/>
  <c r="F45" i="5"/>
  <c r="F37" i="5"/>
  <c r="F36" i="5"/>
  <c r="F28" i="5"/>
  <c r="F27" i="5" s="1"/>
  <c r="E27" i="5"/>
  <c r="F18" i="5"/>
  <c r="E18" i="5"/>
  <c r="E11" i="3"/>
  <c r="I11" i="3"/>
  <c r="E12" i="3"/>
  <c r="H12" i="3" s="1"/>
  <c r="I30" i="3"/>
  <c r="H13" i="3"/>
  <c r="H14" i="3"/>
  <c r="H15" i="3"/>
  <c r="H24" i="3"/>
  <c r="H25" i="3"/>
  <c r="H29" i="3"/>
  <c r="H23" i="3"/>
  <c r="I77" i="7"/>
  <c r="I28" i="7"/>
  <c r="H42" i="7"/>
  <c r="H26" i="4"/>
  <c r="H27" i="7"/>
  <c r="H25" i="7"/>
  <c r="I27" i="7"/>
  <c r="I74" i="7"/>
  <c r="D72" i="7"/>
  <c r="H74" i="7"/>
  <c r="H73" i="7"/>
  <c r="I25" i="7"/>
  <c r="I23" i="7"/>
  <c r="I24" i="7"/>
  <c r="I22" i="7"/>
  <c r="H22" i="7"/>
  <c r="H76" i="7"/>
  <c r="E72" i="7"/>
  <c r="H28" i="7"/>
  <c r="I22" i="3"/>
  <c r="H77" i="7"/>
  <c r="I27" i="3"/>
  <c r="H27" i="3"/>
  <c r="H68" i="7"/>
  <c r="H64" i="7"/>
  <c r="H63" i="7"/>
  <c r="H57" i="7"/>
  <c r="I63" i="7"/>
  <c r="H32" i="4"/>
  <c r="H70" i="7"/>
  <c r="E8" i="6"/>
  <c r="D10" i="8"/>
  <c r="G10" i="8" s="1"/>
  <c r="I70" i="7"/>
  <c r="I9" i="4"/>
  <c r="I11" i="8"/>
  <c r="H11" i="3"/>
  <c r="H18" i="3"/>
  <c r="I18" i="3"/>
  <c r="D17" i="3"/>
  <c r="D16" i="3" s="1"/>
  <c r="H17" i="4"/>
  <c r="I76" i="7"/>
  <c r="I75" i="7"/>
  <c r="I10" i="7"/>
  <c r="E17" i="3"/>
  <c r="H17" i="3" s="1"/>
  <c r="E9" i="7"/>
  <c r="H29" i="7"/>
  <c r="I12" i="3"/>
  <c r="D27" i="8"/>
  <c r="G27" i="8" s="1"/>
  <c r="D14" i="8" l="1"/>
  <c r="G14" i="8" s="1"/>
  <c r="E28" i="8"/>
  <c r="G28" i="8"/>
  <c r="F28" i="8"/>
  <c r="F27" i="8" s="1"/>
  <c r="F32" i="8"/>
  <c r="G32" i="8"/>
  <c r="J8" i="6"/>
  <c r="N8" i="6"/>
  <c r="D13" i="8"/>
  <c r="W8" i="6"/>
  <c r="E23" i="8" s="1"/>
  <c r="I23" i="8" s="1"/>
  <c r="D31" i="8"/>
  <c r="F23" i="8"/>
  <c r="F22" i="8" s="1"/>
  <c r="G23" i="8"/>
  <c r="G8" i="7"/>
  <c r="F13" i="7"/>
  <c r="I16" i="4"/>
  <c r="G15" i="4"/>
  <c r="F15" i="4"/>
  <c r="I11" i="4"/>
  <c r="G24" i="4"/>
  <c r="F24" i="4"/>
  <c r="G8" i="4"/>
  <c r="I72" i="7"/>
  <c r="H24" i="4"/>
  <c r="L37" i="5"/>
  <c r="L36" i="5"/>
  <c r="K54" i="5"/>
  <c r="E10" i="5"/>
  <c r="E9" i="5" s="1"/>
  <c r="F54" i="5"/>
  <c r="L54" i="5" s="1"/>
  <c r="H27" i="5"/>
  <c r="H10" i="5" s="1"/>
  <c r="I10" i="8"/>
  <c r="I28" i="8"/>
  <c r="E27" i="8"/>
  <c r="I27" i="8" s="1"/>
  <c r="H28" i="8"/>
  <c r="H23" i="8"/>
  <c r="E21" i="3"/>
  <c r="E14" i="8" s="1"/>
  <c r="D9" i="3"/>
  <c r="D8" i="3" s="1"/>
  <c r="H10" i="3"/>
  <c r="E9" i="3"/>
  <c r="E20" i="3"/>
  <c r="I17" i="3"/>
  <c r="H21" i="3"/>
  <c r="I21" i="3"/>
  <c r="H33" i="3"/>
  <c r="E10" i="9"/>
  <c r="E13" i="9"/>
  <c r="H28" i="4"/>
  <c r="I33" i="4"/>
  <c r="I56" i="7"/>
  <c r="E43" i="7"/>
  <c r="H44" i="7"/>
  <c r="D10" i="4"/>
  <c r="D8" i="4" s="1"/>
  <c r="I54" i="7"/>
  <c r="H15" i="4"/>
  <c r="H19" i="4"/>
  <c r="I12" i="4"/>
  <c r="I24" i="4"/>
  <c r="I62" i="7"/>
  <c r="I44" i="7"/>
  <c r="H20" i="4"/>
  <c r="H72" i="7"/>
  <c r="H29" i="4"/>
  <c r="E13" i="7"/>
  <c r="H13" i="4"/>
  <c r="I23" i="4"/>
  <c r="I15" i="4"/>
  <c r="I11" i="7"/>
  <c r="H62" i="7"/>
  <c r="H56" i="7"/>
  <c r="H35" i="7"/>
  <c r="H26" i="7" s="1"/>
  <c r="D43" i="7"/>
  <c r="H18" i="4"/>
  <c r="I14" i="7"/>
  <c r="I14" i="4"/>
  <c r="H15" i="7"/>
  <c r="H14" i="7" s="1"/>
  <c r="D13" i="7"/>
  <c r="I15" i="7"/>
  <c r="I9" i="7"/>
  <c r="E21" i="4"/>
  <c r="H11" i="7"/>
  <c r="I12" i="7"/>
  <c r="H12" i="7"/>
  <c r="G10" i="5"/>
  <c r="E32" i="8"/>
  <c r="I15" i="8"/>
  <c r="V8" i="6"/>
  <c r="R8" i="6"/>
  <c r="E30" i="4" s="1"/>
  <c r="I30" i="4" s="1"/>
  <c r="E22" i="8"/>
  <c r="I22" i="8" s="1"/>
  <c r="H24" i="8"/>
  <c r="H27" i="8" l="1"/>
  <c r="F14" i="8"/>
  <c r="F13" i="8" s="1"/>
  <c r="F9" i="8" s="1"/>
  <c r="H14" i="8"/>
  <c r="H13" i="8" s="1"/>
  <c r="H9" i="8" s="1"/>
  <c r="D9" i="8"/>
  <c r="G13" i="8"/>
  <c r="E31" i="8"/>
  <c r="D30" i="8"/>
  <c r="G31" i="8"/>
  <c r="F31" i="8"/>
  <c r="F30" i="8" s="1"/>
  <c r="F26" i="8" s="1"/>
  <c r="G10" i="4"/>
  <c r="F10" i="4"/>
  <c r="F8" i="4" s="1"/>
  <c r="L27" i="5"/>
  <c r="F10" i="5"/>
  <c r="F9" i="5" s="1"/>
  <c r="K10" i="5"/>
  <c r="E30" i="8"/>
  <c r="E26" i="8" s="1"/>
  <c r="H31" i="8"/>
  <c r="I31" i="8"/>
  <c r="I14" i="8"/>
  <c r="H9" i="3"/>
  <c r="I9" i="3"/>
  <c r="E8" i="3"/>
  <c r="I8" i="3" s="1"/>
  <c r="I20" i="3"/>
  <c r="E19" i="9"/>
  <c r="E9" i="9"/>
  <c r="H20" i="3"/>
  <c r="E22" i="4"/>
  <c r="I22" i="4" s="1"/>
  <c r="E8" i="7"/>
  <c r="I43" i="7"/>
  <c r="D8" i="7"/>
  <c r="I13" i="7"/>
  <c r="H43" i="7"/>
  <c r="H13" i="7"/>
  <c r="H9" i="7"/>
  <c r="I21" i="4"/>
  <c r="H21" i="4"/>
  <c r="G9" i="5"/>
  <c r="K9" i="5" s="1"/>
  <c r="H9" i="5"/>
  <c r="L9" i="5" s="1"/>
  <c r="H32" i="8"/>
  <c r="E13" i="8"/>
  <c r="I13" i="8" s="1"/>
  <c r="H22" i="8"/>
  <c r="H30" i="4"/>
  <c r="I30" i="8" l="1"/>
  <c r="G30" i="8"/>
  <c r="D26" i="8"/>
  <c r="H30" i="8"/>
  <c r="G9" i="8"/>
  <c r="D21" i="8"/>
  <c r="I8" i="7"/>
  <c r="L10" i="5"/>
  <c r="E28" i="3"/>
  <c r="I16" i="3"/>
  <c r="H16" i="3"/>
  <c r="E9" i="8"/>
  <c r="I9" i="8" s="1"/>
  <c r="E10" i="4"/>
  <c r="E8" i="4" s="1"/>
  <c r="H22" i="4"/>
  <c r="H10" i="4" s="1"/>
  <c r="H8" i="4" s="1"/>
  <c r="H8" i="7"/>
  <c r="E35" i="8"/>
  <c r="D20" i="8" l="1"/>
  <c r="G20" i="8" s="1"/>
  <c r="G21" i="8"/>
  <c r="F21" i="8"/>
  <c r="F20" i="8" s="1"/>
  <c r="D35" i="8"/>
  <c r="I35" i="8" s="1"/>
  <c r="G26" i="8"/>
  <c r="H35" i="8"/>
  <c r="I26" i="8"/>
  <c r="H26" i="8"/>
  <c r="E21" i="8"/>
  <c r="H21" i="8" s="1"/>
  <c r="H20" i="8" s="1"/>
  <c r="H28" i="3"/>
  <c r="E26" i="3"/>
  <c r="I28" i="3"/>
  <c r="I8" i="4"/>
  <c r="I10" i="4"/>
  <c r="I21" i="8"/>
  <c r="F35" i="8" l="1"/>
  <c r="G35" i="8"/>
  <c r="E20" i="8"/>
  <c r="I20" i="8" s="1"/>
  <c r="I26" i="3"/>
  <c r="H26" i="3"/>
</calcChain>
</file>

<file path=xl/comments1.xml><?xml version="1.0" encoding="utf-8"?>
<comments xmlns="http://schemas.openxmlformats.org/spreadsheetml/2006/main">
  <authors>
    <author>My_PC</author>
  </authors>
  <commentList>
    <comment ref="A9" authorId="0">
      <text>
        <r>
          <rPr>
            <b/>
            <sz val="9"/>
            <color indexed="81"/>
            <rFont val="Segoe UI"/>
            <family val="2"/>
            <charset val="163"/>
          </rPr>
          <t>My_PC:</t>
        </r>
        <r>
          <rPr>
            <sz val="9"/>
            <color indexed="81"/>
            <rFont val="Segoe UI"/>
            <family val="2"/>
            <charset val="163"/>
          </rPr>
          <t xml:space="preserve">
</t>
        </r>
      </text>
    </comment>
  </commentList>
</comments>
</file>

<file path=xl/sharedStrings.xml><?xml version="1.0" encoding="utf-8"?>
<sst xmlns="http://schemas.openxmlformats.org/spreadsheetml/2006/main" count="549" uniqueCount="311">
  <si>
    <t>A</t>
  </si>
  <si>
    <t>B</t>
  </si>
  <si>
    <t>C</t>
  </si>
  <si>
    <t>STT</t>
  </si>
  <si>
    <t xml:space="preserve"> - Thu thuế - phí, lệ phí</t>
  </si>
  <si>
    <t xml:space="preserve"> - Thu khác</t>
  </si>
  <si>
    <t>Thu từ dầu thô</t>
  </si>
  <si>
    <t>Thu từ xuất khẩu, nhập khẩu</t>
  </si>
  <si>
    <t>Thu viện trợ không hoàn lại</t>
  </si>
  <si>
    <t>Thu kết dư ngân sách</t>
  </si>
  <si>
    <t>Trong đó: chi cải cách tiền lương</t>
  </si>
  <si>
    <t>4</t>
  </si>
  <si>
    <t>ĐVT: Triệu đồng</t>
  </si>
  <si>
    <t>Thu tạo nguồn cải cách tiền lương</t>
  </si>
  <si>
    <t>Thu ngân sách địa phương</t>
  </si>
  <si>
    <t>Chi khen thưởng</t>
  </si>
  <si>
    <t xml:space="preserve"> - Thu phạt ATGT</t>
  </si>
  <si>
    <t>Tiết kiệm 10% chi cải cách tiền lương</t>
  </si>
  <si>
    <t>5</t>
  </si>
  <si>
    <t>6</t>
  </si>
  <si>
    <t>Tuyệt đối</t>
  </si>
  <si>
    <t xml:space="preserve">Nội dung </t>
  </si>
  <si>
    <t>1</t>
  </si>
  <si>
    <t>2</t>
  </si>
  <si>
    <t>Tương đối 
(%)</t>
  </si>
  <si>
    <t>Đơn vị: Triệu đồng</t>
  </si>
  <si>
    <t>Nội dung</t>
  </si>
  <si>
    <t>Tổng thu NSNN</t>
  </si>
  <si>
    <t>Thu NSĐP</t>
  </si>
  <si>
    <t>TỔNG THU NSNN</t>
  </si>
  <si>
    <t>I</t>
  </si>
  <si>
    <t>Thu nội địa</t>
  </si>
  <si>
    <t>-</t>
  </si>
  <si>
    <t>Thu nội địa không bao gồm GTGC đồng thời tiền sử dụng đất và tiền cho thuế đất</t>
  </si>
  <si>
    <t>Thu nội địa không bao gồm GTGC đồng thời tiền sử dụng đất; cơ chế riêng và tiền cho thuế đất</t>
  </si>
  <si>
    <t>Thu nội địa không bao gồm tiền sử dụng đất và Ghi thu ghi chi đồng thời thuê đất</t>
  </si>
  <si>
    <t>Thu nội địa không bao gồm tiền sử dụng đất và Ghi thu ghi chi đồng thời thuê đất và xổ số kiến thiết</t>
  </si>
  <si>
    <t>Thu từ khu vực DNNN do trung ương quản lý (1)</t>
  </si>
  <si>
    <t>- Thuế giá trị gia tăng hàng sản xuất kinh doanh trong nước</t>
  </si>
  <si>
    <t>- Thuế thu nhập doanh nghiệp</t>
  </si>
  <si>
    <t>Thu từ khu vực DNNN do địa phương quản lý (2)</t>
  </si>
  <si>
    <t>- Thuế tài nguyên</t>
  </si>
  <si>
    <t>Thu từ khu vực doanh nghiệp có vốn đầu tư nước ngoài (3)</t>
  </si>
  <si>
    <t>- Thu tiền mặt đất, mặt nước - mặt biển</t>
  </si>
  <si>
    <t>Thu từ khu vực kinh tế ngoài quốc doanh (4)</t>
  </si>
  <si>
    <t>- Thuế GTGT+TNDN</t>
  </si>
  <si>
    <t>- Thuế tiêu thụ đặc biệt hàng sản xuất trong nước</t>
  </si>
  <si>
    <t>- Thu phạt về thuế</t>
  </si>
  <si>
    <t>Thuế thu nhập cá nhân</t>
  </si>
  <si>
    <t>Thuế bảo vệ môi trường</t>
  </si>
  <si>
    <t>- Số thu NSTW hưởng 100%</t>
  </si>
  <si>
    <t>- Số thu phân chia NSTW và NSĐP</t>
  </si>
  <si>
    <t>Lệ phí trước bạ</t>
  </si>
  <si>
    <t>Thu phí, lệ phí</t>
  </si>
  <si>
    <t>- Phí và lệ phí trung ương</t>
  </si>
  <si>
    <t>- Phí và lệ phí tỉnh</t>
  </si>
  <si>
    <t>- Phí và lệ phí huyện</t>
  </si>
  <si>
    <t>- Phí và lệ phí xã, thị trấn</t>
  </si>
  <si>
    <t>Thuế sử dụng đất nông nghiệp</t>
  </si>
  <si>
    <t>Thuế sử dụng đất phi nông nghiệp</t>
  </si>
  <si>
    <t>Tiền cho thuê đất, thuê mặt nước</t>
  </si>
  <si>
    <t>Trong đó: ghi thu-ghi chi đồng thời</t>
  </si>
  <si>
    <t>Thu tiền sử dụng đất</t>
  </si>
  <si>
    <t xml:space="preserve">                thực hiện theo cơ chế riêng</t>
  </si>
  <si>
    <t>Tiền cho thuê và tiền bán nhà ở thuộc sở hữu nhà nước</t>
  </si>
  <si>
    <t>Thu từ hoạt động xổ số kiến thiết</t>
  </si>
  <si>
    <t>Các khoản thu khác ngành thuế quản lý</t>
  </si>
  <si>
    <t>Thu khác ngân sách</t>
  </si>
  <si>
    <t>- Thu khác ngân sách địa phương hưởng</t>
  </si>
  <si>
    <t>- Thu khác ngân sách trung ương hưởng</t>
  </si>
  <si>
    <t>-  Thu phạt an toàn giao thông</t>
  </si>
  <si>
    <t>Thu từ quỹ đất công ích, hoa lợi công sản khác</t>
  </si>
  <si>
    <t>Thu hồi vốn, thu cổ tức (5)</t>
  </si>
  <si>
    <t>Lợi nhuận được chia của Nhà nước và lợi nhuận sau thuế còn lại sau khi trích lập các quỹ của doanh nghiệp nhà nước (5)</t>
  </si>
  <si>
    <t>Chênh lệch thu chi Ngân hàng Nhà nước (5)</t>
  </si>
  <si>
    <t>II</t>
  </si>
  <si>
    <t>III</t>
  </si>
  <si>
    <t>Thu từ hoạt động xuất, nhập khẩu</t>
  </si>
  <si>
    <t>Thuế GTGT thu từ hàng hóa nhập khẩu</t>
  </si>
  <si>
    <t>Thuế xuất khẩu</t>
  </si>
  <si>
    <t>Thuế nhập khẩu</t>
  </si>
  <si>
    <t>Thuế TTĐB thu từ hàng hóa nhập khẩu</t>
  </si>
  <si>
    <t>Thuế BVMT thu từ hàng hóa nhập khẩu</t>
  </si>
  <si>
    <t>Thu khác</t>
  </si>
  <si>
    <t>IV</t>
  </si>
  <si>
    <t>Thu viện trợ</t>
  </si>
  <si>
    <t>Ghi chú:</t>
  </si>
  <si>
    <t>(4) Doanh nghiệp khu vực kinh tế ngoài quốc doanh là các doanh nghiệp thành lập theo Luật doanh nghiệp, Luật các tổ chức tín dụng, trừ các doanh nghiệp nhà nước do trung ương, địa phương quản lý, doanh nghiệp có vốn đầu tư nước ngoài nêu trên.</t>
  </si>
  <si>
    <t>(5) Thu ngân sách nhà nước trên địa bàn, thu ngân sách địa phương cấp huyện, xã không có thu từ cổ tức, lợi nhuận được chia của Nhà nước và lợi nhuận sau thuế còn lại sau khi trích lập các quỹ của doanh nghiệp nhà nước, chênh lệch thu, chi Ngân hàng Nhà nước, thu từ dầu thô, thu từ hoạt động xuất, nhập khẩu. Thu chênh lệch thu, chi Ngân hàng Nhà nước chỉ áp dụng đối với thành phố Hà Nội.</t>
  </si>
  <si>
    <t>Tổng cộng</t>
  </si>
  <si>
    <t>Chi đầu tư phát triển</t>
  </si>
  <si>
    <t>Chi thường xuyên</t>
  </si>
  <si>
    <t>Chi quốc phòng</t>
  </si>
  <si>
    <t>Chi an ninh</t>
  </si>
  <si>
    <t>Chi sự nghiệp giáo dục</t>
  </si>
  <si>
    <t>Chi sự nghiệp đào tạo và dạy nghề</t>
  </si>
  <si>
    <t>Chi sự nghiệp khoa học và công nghệ</t>
  </si>
  <si>
    <t>Chi sự nghiệp môi trường</t>
  </si>
  <si>
    <t>7</t>
  </si>
  <si>
    <t>Chi sự nghiệp VHTT, TDTT</t>
  </si>
  <si>
    <t>8</t>
  </si>
  <si>
    <t>Chi sự nghiệp phát thanh - truyền hình</t>
  </si>
  <si>
    <t>9</t>
  </si>
  <si>
    <t>Chi sự nghiệp kinh tế, thủy lợi, giao thông</t>
  </si>
  <si>
    <t>10</t>
  </si>
  <si>
    <t>11</t>
  </si>
  <si>
    <t>Chi đảm bảo xã hội</t>
  </si>
  <si>
    <t>12</t>
  </si>
  <si>
    <t>13</t>
  </si>
  <si>
    <t>Chi tiết kiệm 10% cải cách tiền lương</t>
  </si>
  <si>
    <t>14</t>
  </si>
  <si>
    <t>15</t>
  </si>
  <si>
    <t>Chi khác ngân sách</t>
  </si>
  <si>
    <t>16</t>
  </si>
  <si>
    <t>Chi ngân sách xã</t>
  </si>
  <si>
    <t>Dự phòng ngân sách</t>
  </si>
  <si>
    <t>Thu chuyển nguồn năm 2013 sang 2014</t>
  </si>
  <si>
    <t>Thu kết dư</t>
  </si>
  <si>
    <t>3</t>
  </si>
  <si>
    <t>TỔNG CỘNG</t>
  </si>
  <si>
    <t>CHI SỰ NGHIỆP KINH TẾ</t>
  </si>
  <si>
    <t>CHI SỰ NGHIỆP VĂN HOÁ-XÃ HỘI</t>
  </si>
  <si>
    <t>Đảm bảo xã hội</t>
  </si>
  <si>
    <t>Sự nghiệp khoa học</t>
  </si>
  <si>
    <t>Sự nghiệp môi trường</t>
  </si>
  <si>
    <t>Sự nghiệp giáo dục</t>
  </si>
  <si>
    <t>Sự nghiệp đào tạo và dạy nghề</t>
  </si>
  <si>
    <t xml:space="preserve"> - Trung tâm GDNN-GDTX</t>
  </si>
  <si>
    <t xml:space="preserve"> - Học phí</t>
  </si>
  <si>
    <t>CHI QUẢN LÝ HÀNH CHÍNH</t>
  </si>
  <si>
    <t>QUẢN LÝ NHÀ NƯỚC</t>
  </si>
  <si>
    <t>Văn phòng HĐND-UBND</t>
  </si>
  <si>
    <t>Phòng Kinh tế và Hạ tầng</t>
  </si>
  <si>
    <t>Phòng Tài nguyên Môi trường</t>
  </si>
  <si>
    <t>Phòng Nông nghiệp và PTNT</t>
  </si>
  <si>
    <t>Phòng Văn hoá và Thông tin</t>
  </si>
  <si>
    <t>Thanh tra Nhà nước</t>
  </si>
  <si>
    <t>Phòng Tư pháp</t>
  </si>
  <si>
    <t>Phòng Tài chính Kế hoạch</t>
  </si>
  <si>
    <t>Phòng Nội vụ</t>
  </si>
  <si>
    <t>ĐOÀN THỂ</t>
  </si>
  <si>
    <t>Hội Nông dân</t>
  </si>
  <si>
    <t>Mặt trận Tổ quốc</t>
  </si>
  <si>
    <t>Hội Cựu chiến binh</t>
  </si>
  <si>
    <t xml:space="preserve">C </t>
  </si>
  <si>
    <t>CÁC TỔ CHỨC XÃ HỘI</t>
  </si>
  <si>
    <t>Hội Luật gia</t>
  </si>
  <si>
    <t>Hội Cựu giáo chức</t>
  </si>
  <si>
    <t>D</t>
  </si>
  <si>
    <t>KINH PHÍ ĐẢNG</t>
  </si>
  <si>
    <t>E</t>
  </si>
  <si>
    <t>CÁC ĐƠN VỊ KHÁC</t>
  </si>
  <si>
    <t xml:space="preserve">IV </t>
  </si>
  <si>
    <t>CHI AN NINH QUỐC PHÒNG</t>
  </si>
  <si>
    <t>Công an</t>
  </si>
  <si>
    <t>Quân sự</t>
  </si>
  <si>
    <t>V</t>
  </si>
  <si>
    <t>CHI KHÁC NGÂN SÁCH</t>
  </si>
  <si>
    <t>CHI KHEN THƯỞNG</t>
  </si>
  <si>
    <t>CHI DỰ PHÒNG NGÂN SÁCH</t>
  </si>
  <si>
    <t>Sự nghiệp kinh tế</t>
  </si>
  <si>
    <t>F</t>
  </si>
  <si>
    <t>G</t>
  </si>
  <si>
    <t>Số 
thứ tự</t>
  </si>
  <si>
    <t>Đơn vị</t>
  </si>
  <si>
    <t xml:space="preserve"> Tổng chi ngân 
sách xã, thị trấn </t>
  </si>
  <si>
    <t xml:space="preserve"> Ngân sách xã, 
thị trấn được hưởng </t>
  </si>
  <si>
    <t xml:space="preserve"> Tổng thu NSNN 
trên địa bàn xã, thị trấn </t>
  </si>
  <si>
    <t xml:space="preserve"> Tổng chi NS xã, thị trấn </t>
  </si>
  <si>
    <t xml:space="preserve"> Ngân sách các xã, thị trấn được hưởng </t>
  </si>
  <si>
    <t xml:space="preserve"> Tổng 
số </t>
  </si>
  <si>
    <t xml:space="preserve"> Số bổ sung 
từ NS cấp huyện </t>
  </si>
  <si>
    <t xml:space="preserve"> Số bổ sung trong cân đối </t>
  </si>
  <si>
    <t>Thị trấn Cây Dương</t>
  </si>
  <si>
    <t>Thị trấn Kinh Cùng</t>
  </si>
  <si>
    <t>Thị trấn Búng Tàu</t>
  </si>
  <si>
    <t>Xã Tân Bình</t>
  </si>
  <si>
    <t>Xã Thạnh Hòa</t>
  </si>
  <si>
    <t>Xã Long Thạnh</t>
  </si>
  <si>
    <t>Xã Tân Long</t>
  </si>
  <si>
    <t>Xã Phụng Hiệp</t>
  </si>
  <si>
    <t>Xã Hiệp Hưng</t>
  </si>
  <si>
    <t>Xã Tân Phước Hưng</t>
  </si>
  <si>
    <t>Xã Phương Phú</t>
  </si>
  <si>
    <t>Xã Phương Bình</t>
  </si>
  <si>
    <t>Xã Hòa An</t>
  </si>
  <si>
    <t>Xã Hòa Mỹ</t>
  </si>
  <si>
    <t>Xã Bình Thành</t>
  </si>
  <si>
    <t>Tổng thu NSNN trên địa bàn</t>
  </si>
  <si>
    <t>Thu từ sản xuất kinh doanh trong nước</t>
  </si>
  <si>
    <t>Thu thuế công thương nghiệp ngoài quốc doanh</t>
  </si>
  <si>
    <t>Thu thuế thu nhập cá nhân</t>
  </si>
  <si>
    <t>Thu lệ phí trước bạ</t>
  </si>
  <si>
    <t>Thu phí - lệ phí</t>
  </si>
  <si>
    <t>Thu phạt ATGT</t>
  </si>
  <si>
    <t>Thu trợ cấp</t>
  </si>
  <si>
    <t>Chi từ kết dư ngân sách huyện</t>
  </si>
  <si>
    <t>Ngân sách cấp huyện</t>
  </si>
  <si>
    <t>Nguồn thu ngân sách cấp huyện</t>
  </si>
  <si>
    <t xml:space="preserve"> Tổng thu NSNN trên địa bàn </t>
  </si>
  <si>
    <t>Thu phạt VPHC do cơ quan thuế xử lý</t>
  </si>
  <si>
    <t>- Thu phạt VPHC do cơ quan thuế xử lý</t>
  </si>
  <si>
    <t>Chuyển nguồn CCTL</t>
  </si>
  <si>
    <t>Kinh phí hỗ trợ sản xuất đất trồng lúa theo NĐ số 62/2019/NĐ-CP và NĐ số 35/2015/NĐ-CP</t>
  </si>
  <si>
    <t>Thu ngân sách huyện hưởng theo phân cấp</t>
  </si>
  <si>
    <t xml:space="preserve"> - Các khoản thu NS huyện hưởng 100%</t>
  </si>
  <si>
    <t xml:space="preserve"> - Các khoản thu phân chia  NS huyện hưởng theo tỷ phần trăm (%)</t>
  </si>
  <si>
    <t>Bổ sung từ ngân sách cấp tỉnh</t>
  </si>
  <si>
    <t xml:space="preserve"> - Bổ sung cân đối</t>
  </si>
  <si>
    <t xml:space="preserve"> - Bổ sung có mục tiêu</t>
  </si>
  <si>
    <t>Chi ngân sách địa phương</t>
  </si>
  <si>
    <t>Dự phòng</t>
  </si>
  <si>
    <t>Chi ngân sách huyện</t>
  </si>
  <si>
    <t>Nguồn thu ngân sách xã, thị trấn</t>
  </si>
  <si>
    <t>Thu ngân sách huưởng theo phân cấp</t>
  </si>
  <si>
    <t xml:space="preserve"> - Các khoản thu NS xã hưởng 100%</t>
  </si>
  <si>
    <t xml:space="preserve"> - Các khoản thu phân chia NS xã hưởng theo tỷ phần trăm (%)</t>
  </si>
  <si>
    <t>Thu bổ sung từ ngân sách cấp trên</t>
  </si>
  <si>
    <t>Chi ngân sách xã, thị trấn</t>
  </si>
  <si>
    <r>
      <t>(1) Doanh nghiệp nhà nước do trung</t>
    </r>
    <r>
      <rPr>
        <sz val="14"/>
        <rFont val="Times New Roman"/>
        <family val="1"/>
      </rPr>
      <t> </t>
    </r>
    <r>
      <rPr>
        <i/>
        <sz val="14"/>
        <rFont val="Times New Roman"/>
        <family val="1"/>
      </rPr>
      <t>ương quản lý là doanh nghiệp do bộ, cơ quan ngang bộ, cơ quan thuộc Chính phủ, cơ quan khác ở</t>
    </r>
    <r>
      <rPr>
        <sz val="14"/>
        <rFont val="Times New Roman"/>
        <family val="1"/>
      </rPr>
      <t> </t>
    </r>
    <r>
      <rPr>
        <i/>
        <sz val="14"/>
        <rFont val="Times New Roman"/>
        <family val="1"/>
      </rPr>
      <t>trung ương đại diện Nhà nước chủ sở hữu 100% vốn điều lệ.</t>
    </r>
  </si>
  <si>
    <r>
      <t>(2) Doanh nghiệp nhà nước do địa phương quản lý</t>
    </r>
    <r>
      <rPr>
        <sz val="14"/>
        <rFont val="Times New Roman"/>
        <family val="1"/>
      </rPr>
      <t> </t>
    </r>
    <r>
      <rPr>
        <i/>
        <sz val="14"/>
        <rFont val="Times New Roman"/>
        <family val="1"/>
      </rPr>
      <t>là doanh nghiệp do Ủy ban nhân dân cấp tỉnh đại diện Nhà nước chủ sở hữu 100% vốn điều lệ.</t>
    </r>
  </si>
  <si>
    <r>
      <t>(3) Doanh nghiệp có</t>
    </r>
    <r>
      <rPr>
        <sz val="14"/>
        <rFont val="Times New Roman"/>
        <family val="1"/>
      </rPr>
      <t> </t>
    </r>
    <r>
      <rPr>
        <i/>
        <sz val="14"/>
        <rFont val="Times New Roman"/>
        <family val="1"/>
      </rPr>
      <t>vốn</t>
    </r>
    <r>
      <rPr>
        <sz val="14"/>
        <rFont val="Times New Roman"/>
        <family val="1"/>
      </rPr>
      <t> </t>
    </r>
    <r>
      <rPr>
        <i/>
        <sz val="14"/>
        <rFont val="Times New Roman"/>
        <family val="1"/>
      </rPr>
      <t>đầu</t>
    </r>
    <r>
      <rPr>
        <sz val="14"/>
        <rFont val="Times New Roman"/>
        <family val="1"/>
      </rPr>
      <t> </t>
    </r>
    <r>
      <rPr>
        <i/>
        <sz val="14"/>
        <rFont val="Times New Roman"/>
        <family val="1"/>
      </rPr>
      <t>tư nước ngoài là các doanh nghiệp mà phần vốn do tổ chức, cá nhân nước ngoài sở hữu từ 51% vốn điều lệ trở lên hoặc có đa số thành viên hợp danh là cá nhân nước ngoài đối với tổ chức kinh tế là công ty hợp danh.</t>
    </r>
  </si>
  <si>
    <t>Chi QLNN, Đảng, Đoàn thể, các tổ chức XH, 
chi khác</t>
  </si>
  <si>
    <t>Thu chuyển nguồn sang năm sau</t>
  </si>
  <si>
    <t>17</t>
  </si>
  <si>
    <t>18</t>
  </si>
  <si>
    <t>19</t>
  </si>
  <si>
    <t>Chi mục tiêu</t>
  </si>
  <si>
    <t>Chi thực hiện các chế độ chính sách</t>
  </si>
  <si>
    <t xml:space="preserve"> - Phòng Nông nghiệp và PTNT (CT MTQG 098)</t>
  </si>
  <si>
    <t xml:space="preserve"> - Phòng Nông nghiệp và PTNT (CT MTQG 075)</t>
  </si>
  <si>
    <t xml:space="preserve"> - Phòng Lao động TBXH (098)</t>
  </si>
  <si>
    <t>20</t>
  </si>
  <si>
    <t>21</t>
  </si>
  <si>
    <t xml:space="preserve">Chuyển nguồn tiết kiệm chi </t>
  </si>
  <si>
    <t>Sự nghiệp văn hóa xã hội</t>
  </si>
  <si>
    <t>1.1</t>
  </si>
  <si>
    <t>Sự nghiệp văn hóa</t>
  </si>
  <si>
    <t>Sự nghiệp thông tin</t>
  </si>
  <si>
    <t>Sự nghiệp truyền thanh</t>
  </si>
  <si>
    <t>Sự nghiệp thể thao</t>
  </si>
  <si>
    <t>1.2</t>
  </si>
  <si>
    <t>Ban quản lý dự án</t>
  </si>
  <si>
    <t>Chi sự nghiệp Văn hóa - xã hội (BQLDA)</t>
  </si>
  <si>
    <t>DỰ TOÁN THU NGÂN SÁCH NHÀ NƯỚC NĂM 2024</t>
  </si>
  <si>
    <t>DỰ TOÁN CHI BỔ SUNG TỪ NGÂN SÁCH CẤP HUYỆN CHO NGÂN SÁCH CẤP XÃ, THỊ TRẤN NĂM 2024</t>
  </si>
  <si>
    <t>Kế hoạch giao đầu năm 2024</t>
  </si>
  <si>
    <t xml:space="preserve"> Trợ cấp bổ sung mục tiêu năm 2024</t>
  </si>
  <si>
    <t xml:space="preserve"> Thu kết dư NS năm 2023</t>
  </si>
  <si>
    <t xml:space="preserve"> Thu chuyển nguồn NS năm 2023 sang năm 2024</t>
  </si>
  <si>
    <t>Tổng thu</t>
  </si>
  <si>
    <t>Tổng chi</t>
  </si>
  <si>
    <t>Tồn quỹ</t>
  </si>
  <si>
    <t>Chi chuyển nguồn</t>
  </si>
  <si>
    <t>THU, CHI 2023</t>
  </si>
  <si>
    <t>ĐÁNH GIÁ THỰC HIỆN THU NGÂN SÁCH NHÀ NƯỚC THEO LĨNH VỰC NĂM 2024</t>
  </si>
  <si>
    <t>CÂN ĐỐI NGUỒN THU, CHI NGÂN SÁCH ĐỊA PHƯƠNG NĂM 2024</t>
  </si>
  <si>
    <t>DỰ TOÁN CHI NGÂN SÁCH NHÀ NƯỚC NĂM 2024</t>
  </si>
  <si>
    <t>Kinh phí hỗ trợ sử dụng sản phẩm, dịch vụ công ích</t>
  </si>
  <si>
    <t>1.3</t>
  </si>
  <si>
    <t>DỰ TOÁN CHI NGÂN SÁCH CHO TỪNG ĐƠN VỊ NĂM 2024</t>
  </si>
  <si>
    <t xml:space="preserve"> - Văn phòng HĐND-UBND (082)</t>
  </si>
  <si>
    <t xml:space="preserve"> - Phòng Tài chính Kế hoạch (082)</t>
  </si>
  <si>
    <t>Hội Đông y</t>
  </si>
  <si>
    <t>Chi sự nghiệp Văn hóa - xã hội (P.VHTT)</t>
  </si>
  <si>
    <t>22</t>
  </si>
  <si>
    <t>CÂN ĐỐI DỰ TOÁN NGÂN SÁCH ĐỊA PHƯƠNG NĂM 2024</t>
  </si>
  <si>
    <t xml:space="preserve"> - Phòng Nội vụ (085)</t>
  </si>
  <si>
    <t xml:space="preserve"> - Phòng Nội vụ (082)</t>
  </si>
  <si>
    <t xml:space="preserve"> - Văn phòng Huyện ủy</t>
  </si>
  <si>
    <t>Dự toán đầu năm 2024</t>
  </si>
  <si>
    <t>Dự toán điều chỉnh năm 2024 (lần 1)</t>
  </si>
  <si>
    <t>Dự toán điều chỉnh năm 2024 (06 tháng)</t>
  </si>
  <si>
    <t>6=3-2</t>
  </si>
  <si>
    <t>7=3/2</t>
  </si>
  <si>
    <t>4=2-1</t>
  </si>
  <si>
    <t>5=2/1</t>
  </si>
  <si>
    <t>So sánh dự toán đầu năm/dự toán điều chỉnh (06 tháng)</t>
  </si>
  <si>
    <t>So sánh dự toán điều chỉnh (06 tháng)/dự toán điều chỉnh (lần 1)</t>
  </si>
  <si>
    <t>So sánh (%)</t>
  </si>
  <si>
    <t>Dự toán đầu năm/dự toán điều chỉnh (06 tháng)</t>
  </si>
  <si>
    <t>Dự toán điều chỉnh (06 tháng)/dự toán điều chỉnh (lần 1)</t>
  </si>
  <si>
    <t xml:space="preserve"> Kế hoạch điều chỉnh năm 2024 (lần 1)</t>
  </si>
  <si>
    <t xml:space="preserve"> Kế hoạch điều chỉnh năm 2024 (06 tháng)</t>
  </si>
  <si>
    <t>Chi ủy thác và chi hỗ trợ các đơn vị TW</t>
  </si>
  <si>
    <t>(Kèm theo Tờ trình số:         /TTr-UBND ngày      tháng 8 năm 2024 của UBND huyện Phụng Hiệp)</t>
  </si>
  <si>
    <t>Phụ biểu 02</t>
  </si>
  <si>
    <t>Phụ biểu 03</t>
  </si>
  <si>
    <t>Phụ biểu 04</t>
  </si>
  <si>
    <t>Phụ biểu 05</t>
  </si>
  <si>
    <t>Phụ biểu 06</t>
  </si>
  <si>
    <t>Phụ biểu 01</t>
  </si>
  <si>
    <t>Phụ biểu 07</t>
  </si>
  <si>
    <t>Chi thuộc nhiệm vụ của cấp huyện</t>
  </si>
  <si>
    <t>Bổ sung cho ngân sách xã, thị trấn</t>
  </si>
  <si>
    <t>Ngân ngân sách xã, thị trấn</t>
  </si>
  <si>
    <t>Trung tâm Văn hóa TT-TT và Truyền thanh</t>
  </si>
  <si>
    <t xml:space="preserve"> - Trung tâm Chính trị huyện</t>
  </si>
  <si>
    <t xml:space="preserve"> - Phòng Văn hóa và Thông tin (CT.MTQG 098-00476)</t>
  </si>
  <si>
    <t xml:space="preserve"> - Phòng Lao động TBXH (CT MTQG 098)</t>
  </si>
  <si>
    <t xml:space="preserve"> - Phòng Lao động TBXH (CT MTQG 075)</t>
  </si>
  <si>
    <t xml:space="preserve"> - Trung tâm Văn hóa Thể thao và Truyền thanh</t>
  </si>
  <si>
    <t xml:space="preserve"> - Đoàn TNCS Hồ Chí Minh huyện</t>
  </si>
  <si>
    <t>Phòng Lao động Thương binh và Xã hội</t>
  </si>
  <si>
    <t>Phòng giáo dục và Đào tạo</t>
  </si>
  <si>
    <t>Đoàn TNCS Hồ Chí Minh huyện</t>
  </si>
  <si>
    <t>Hội Liên hiệp Phụ nữ</t>
  </si>
  <si>
    <t>Hội Người cao tuổi</t>
  </si>
  <si>
    <t>Hội Khuyến học</t>
  </si>
  <si>
    <t>Hội Chữ Thập đỏ</t>
  </si>
  <si>
    <t>Hội Người mù-CDDC-KT và BVQTE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</si>
</sst>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_-* #,##0\ _₫_-;\-* #,##0\ _₫_-;_-* &quot;-&quot;??\ _₫_-;_-@_-"/>
    <numFmt numFmtId="166" formatCode="_(* #,##0.000000_);_(* \(#,##0.000000\);_(* &quot;-&quot;??_);_(@_)"/>
    <numFmt numFmtId="167" formatCode="_(* #,##0.000_);_(* \(#,##0.000\);_(* &quot;-&quot;??_);_(@_)"/>
  </numFmts>
  <fonts count="18" x14ac:knownFonts="1">
    <font>
      <sz val="12"/>
      <name val=".VnArial Narrow"/>
    </font>
    <font>
      <sz val="12"/>
      <name val=".VnArial Narrow"/>
      <family val="2"/>
    </font>
    <font>
      <sz val="14"/>
      <name val="Times New Roman"/>
      <family val="1"/>
    </font>
    <font>
      <sz val="8"/>
      <name val=".VnArial Narrow"/>
      <family val="2"/>
    </font>
    <font>
      <i/>
      <sz val="12"/>
      <name val="Times New Roman"/>
      <family val="1"/>
    </font>
    <font>
      <b/>
      <sz val="14"/>
      <name val="Times New Roman"/>
      <family val="1"/>
    </font>
    <font>
      <b/>
      <sz val="9"/>
      <color indexed="81"/>
      <name val="Segoe UI"/>
      <family val="2"/>
      <charset val="163"/>
    </font>
    <font>
      <sz val="9"/>
      <color indexed="81"/>
      <name val="Segoe UI"/>
      <family val="2"/>
      <charset val="163"/>
    </font>
    <font>
      <sz val="13"/>
      <name val="Times New Roman"/>
      <family val="1"/>
    </font>
    <font>
      <b/>
      <sz val="13"/>
      <name val="Times New Roman"/>
      <family val="1"/>
    </font>
    <font>
      <b/>
      <u/>
      <sz val="14"/>
      <name val="Times New Roman"/>
      <family val="1"/>
    </font>
    <font>
      <i/>
      <sz val="13"/>
      <name val="Times New Roman"/>
      <family val="1"/>
    </font>
    <font>
      <sz val="13"/>
      <name val=".VnArial Narrow"/>
      <family val="2"/>
    </font>
    <font>
      <i/>
      <sz val="14"/>
      <name val="Times New Roman"/>
      <family val="1"/>
    </font>
    <font>
      <u/>
      <sz val="14"/>
      <name val="Times New Roman"/>
      <family val="1"/>
    </font>
    <font>
      <b/>
      <i/>
      <sz val="14"/>
      <name val="Times New Roman"/>
      <family val="1"/>
    </font>
    <font>
      <b/>
      <i/>
      <u/>
      <sz val="14"/>
      <name val="Times New Roman"/>
      <family val="1"/>
    </font>
    <font>
      <sz val="14"/>
      <color rgb="FFC00000"/>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244">
    <xf numFmtId="0" fontId="0" fillId="0" borderId="0" xfId="0"/>
    <xf numFmtId="0" fontId="5" fillId="0" borderId="2" xfId="0" applyFont="1" applyBorder="1" applyAlignment="1">
      <alignment horizontal="center" vertical="center"/>
    </xf>
    <xf numFmtId="164" fontId="5" fillId="0" borderId="2" xfId="1" applyNumberFormat="1" applyFont="1" applyBorder="1" applyAlignment="1">
      <alignment horizontal="center" wrapText="1"/>
    </xf>
    <xf numFmtId="164" fontId="8" fillId="0" borderId="0" xfId="1" applyNumberFormat="1" applyFont="1"/>
    <xf numFmtId="164" fontId="9" fillId="0" borderId="0" xfId="1" applyNumberFormat="1" applyFont="1" applyAlignment="1"/>
    <xf numFmtId="164" fontId="9" fillId="0" borderId="0" xfId="1" applyNumberFormat="1" applyFont="1" applyAlignment="1">
      <alignment horizontal="right"/>
    </xf>
    <xf numFmtId="0" fontId="8" fillId="0" borderId="0" xfId="0" applyFont="1"/>
    <xf numFmtId="43" fontId="8" fillId="0" borderId="0" xfId="1" applyFont="1"/>
    <xf numFmtId="164" fontId="9" fillId="0" borderId="0" xfId="1" applyNumberFormat="1" applyFont="1" applyBorder="1" applyAlignment="1">
      <alignment vertical="center" wrapText="1"/>
    </xf>
    <xf numFmtId="0" fontId="9" fillId="0" borderId="0" xfId="0" applyFont="1" applyAlignment="1">
      <alignment vertical="center"/>
    </xf>
    <xf numFmtId="43" fontId="9" fillId="0" borderId="0" xfId="1" applyFont="1" applyAlignment="1">
      <alignment vertical="center"/>
    </xf>
    <xf numFmtId="164" fontId="9" fillId="0" borderId="0" xfId="0" applyNumberFormat="1" applyFont="1"/>
    <xf numFmtId="0" fontId="9" fillId="0" borderId="0" xfId="0" applyFont="1"/>
    <xf numFmtId="43" fontId="9" fillId="0" borderId="0" xfId="1" applyFont="1"/>
    <xf numFmtId="43" fontId="8" fillId="0" borderId="0" xfId="0" applyNumberFormat="1" applyFont="1"/>
    <xf numFmtId="164" fontId="8" fillId="0" borderId="0" xfId="0" applyNumberFormat="1" applyFont="1"/>
    <xf numFmtId="0" fontId="12" fillId="0" borderId="0" xfId="0" applyFont="1"/>
    <xf numFmtId="164" fontId="12" fillId="0" borderId="0" xfId="0" applyNumberFormat="1" applyFont="1"/>
    <xf numFmtId="164" fontId="12" fillId="0" borderId="0" xfId="1" applyNumberFormat="1" applyFont="1"/>
    <xf numFmtId="43" fontId="12" fillId="0" borderId="0" xfId="1" applyFont="1"/>
    <xf numFmtId="166" fontId="9" fillId="0" borderId="0" xfId="1" applyNumberFormat="1" applyFont="1"/>
    <xf numFmtId="43" fontId="2" fillId="0" borderId="0" xfId="1" applyFont="1"/>
    <xf numFmtId="0" fontId="2" fillId="0" borderId="0" xfId="0" applyFont="1"/>
    <xf numFmtId="0" fontId="5" fillId="0" borderId="0" xfId="0" applyFont="1"/>
    <xf numFmtId="0" fontId="13" fillId="0" borderId="0" xfId="0" applyFont="1"/>
    <xf numFmtId="0" fontId="14" fillId="0" borderId="0" xfId="0" applyFont="1"/>
    <xf numFmtId="164" fontId="8" fillId="0" borderId="0" xfId="1" applyNumberFormat="1" applyFont="1" applyAlignment="1"/>
    <xf numFmtId="164" fontId="8" fillId="0" borderId="0" xfId="1" applyNumberFormat="1" applyFont="1" applyFill="1"/>
    <xf numFmtId="164" fontId="13" fillId="0" borderId="0" xfId="1" applyNumberFormat="1" applyFont="1" applyAlignment="1">
      <alignment horizontal="centerContinuous"/>
    </xf>
    <xf numFmtId="3" fontId="2" fillId="0" borderId="0" xfId="0" applyNumberFormat="1" applyFont="1" applyAlignment="1">
      <alignment horizontal="center"/>
    </xf>
    <xf numFmtId="164" fontId="2" fillId="0" borderId="0" xfId="1" applyNumberFormat="1" applyFont="1"/>
    <xf numFmtId="0" fontId="2" fillId="0" borderId="0" xfId="0" applyFont="1" applyAlignment="1">
      <alignment horizontal="center"/>
    </xf>
    <xf numFmtId="164" fontId="5" fillId="0" borderId="2" xfId="1" applyNumberFormat="1" applyFont="1" applyBorder="1"/>
    <xf numFmtId="43" fontId="5" fillId="0" borderId="2" xfId="1" applyFont="1" applyBorder="1" applyAlignment="1">
      <alignment horizontal="center"/>
    </xf>
    <xf numFmtId="0" fontId="2" fillId="0" borderId="2" xfId="0" applyFont="1" applyBorder="1" applyAlignment="1">
      <alignment horizontal="center" vertical="top"/>
    </xf>
    <xf numFmtId="0" fontId="2" fillId="0" borderId="2" xfId="0" applyFont="1" applyBorder="1" applyAlignment="1">
      <alignment horizontal="justify"/>
    </xf>
    <xf numFmtId="164" fontId="2" fillId="0" borderId="2" xfId="1" applyNumberFormat="1" applyFont="1" applyBorder="1"/>
    <xf numFmtId="164" fontId="2" fillId="0" borderId="2" xfId="0" applyNumberFormat="1" applyFont="1" applyBorder="1" applyAlignment="1">
      <alignment horizontal="center"/>
    </xf>
    <xf numFmtId="43" fontId="2" fillId="0" borderId="2" xfId="1" applyFont="1" applyBorder="1" applyAlignment="1">
      <alignment horizontal="center"/>
    </xf>
    <xf numFmtId="164" fontId="5" fillId="0" borderId="2" xfId="0" applyNumberFormat="1" applyFont="1" applyBorder="1" applyAlignment="1">
      <alignment horizontal="center"/>
    </xf>
    <xf numFmtId="0" fontId="5" fillId="0" borderId="2" xfId="0" applyFont="1" applyBorder="1" applyAlignment="1">
      <alignment horizontal="justify"/>
    </xf>
    <xf numFmtId="164" fontId="2" fillId="0" borderId="2" xfId="1" applyNumberFormat="1" applyFont="1" applyFill="1" applyBorder="1"/>
    <xf numFmtId="0" fontId="2" fillId="0" borderId="2" xfId="0" quotePrefix="1" applyFont="1" applyBorder="1" applyAlignment="1">
      <alignment horizontal="center" vertical="top"/>
    </xf>
    <xf numFmtId="0" fontId="13" fillId="0" borderId="2" xfId="0" applyFont="1" applyBorder="1" applyAlignment="1">
      <alignment horizontal="justify"/>
    </xf>
    <xf numFmtId="0" fontId="2" fillId="0" borderId="2" xfId="0" quotePrefix="1" applyFont="1" applyBorder="1" applyAlignment="1">
      <alignment horizontal="center"/>
    </xf>
    <xf numFmtId="0" fontId="2" fillId="0" borderId="2" xfId="0" applyFont="1" applyBorder="1" applyAlignment="1">
      <alignment horizontal="left"/>
    </xf>
    <xf numFmtId="164" fontId="2" fillId="0" borderId="2" xfId="1" applyNumberFormat="1" applyFont="1" applyBorder="1" applyAlignment="1">
      <alignment horizontal="justify"/>
    </xf>
    <xf numFmtId="0" fontId="5" fillId="0" borderId="0" xfId="0" applyFont="1" applyAlignment="1">
      <alignment horizontal="center"/>
    </xf>
    <xf numFmtId="0" fontId="5" fillId="0" borderId="2" xfId="0" applyFont="1" applyBorder="1" applyAlignment="1">
      <alignment horizontal="center" vertical="top"/>
    </xf>
    <xf numFmtId="164" fontId="5" fillId="0" borderId="2" xfId="1" applyNumberFormat="1" applyFont="1" applyBorder="1" applyAlignment="1">
      <alignment horizontal="centerContinuous"/>
    </xf>
    <xf numFmtId="0" fontId="13" fillId="0" borderId="2" xfId="0" applyFont="1" applyBorder="1" applyAlignment="1">
      <alignment horizontal="center" vertical="top"/>
    </xf>
    <xf numFmtId="164" fontId="2" fillId="0" borderId="2" xfId="1" quotePrefix="1" applyNumberFormat="1" applyFont="1" applyBorder="1"/>
    <xf numFmtId="0" fontId="2" fillId="0" borderId="2" xfId="0" applyFont="1" applyBorder="1" applyAlignment="1">
      <alignment horizontal="justify" wrapText="1"/>
    </xf>
    <xf numFmtId="164" fontId="13" fillId="0" borderId="2" xfId="1" applyNumberFormat="1" applyFont="1" applyBorder="1"/>
    <xf numFmtId="164" fontId="2" fillId="0" borderId="2" xfId="1" quotePrefix="1" applyNumberFormat="1" applyFont="1" applyFill="1" applyBorder="1"/>
    <xf numFmtId="164" fontId="5" fillId="0" borderId="0" xfId="1" applyNumberFormat="1" applyFont="1" applyAlignment="1">
      <alignment horizontal="centerContinuous"/>
    </xf>
    <xf numFmtId="164" fontId="2" fillId="0" borderId="0" xfId="1" applyNumberFormat="1" applyFont="1" applyAlignment="1">
      <alignment horizontal="centerContinuous"/>
    </xf>
    <xf numFmtId="164" fontId="13" fillId="0" borderId="2" xfId="1" applyNumberFormat="1" applyFont="1" applyBorder="1" applyAlignment="1"/>
    <xf numFmtId="164" fontId="13" fillId="0" borderId="2" xfId="0" applyNumberFormat="1" applyFont="1" applyBorder="1" applyAlignment="1">
      <alignment horizontal="center"/>
    </xf>
    <xf numFmtId="43" fontId="13" fillId="0" borderId="2" xfId="1" applyFont="1" applyBorder="1" applyAlignment="1">
      <alignment horizontal="center"/>
    </xf>
    <xf numFmtId="0" fontId="5" fillId="0" borderId="0" xfId="0" applyFont="1" applyAlignment="1">
      <alignment horizontal="centerContinuous"/>
    </xf>
    <xf numFmtId="0" fontId="2" fillId="0" borderId="2" xfId="0" applyFont="1" applyBorder="1" applyAlignment="1">
      <alignment horizontal="center"/>
    </xf>
    <xf numFmtId="0" fontId="16" fillId="0" borderId="0" xfId="0" applyFont="1"/>
    <xf numFmtId="3" fontId="2" fillId="0" borderId="0" xfId="0" applyNumberFormat="1" applyFont="1"/>
    <xf numFmtId="3" fontId="13" fillId="0" borderId="0" xfId="0" applyNumberFormat="1" applyFont="1" applyAlignment="1">
      <alignment horizontal="centerContinuous"/>
    </xf>
    <xf numFmtId="3" fontId="5" fillId="0" borderId="0" xfId="0" applyNumberFormat="1" applyFont="1" applyAlignment="1">
      <alignment horizontal="centerContinuous"/>
    </xf>
    <xf numFmtId="3" fontId="2" fillId="0" borderId="0" xfId="0" applyNumberFormat="1" applyFont="1" applyAlignment="1">
      <alignment horizontal="centerContinuous"/>
    </xf>
    <xf numFmtId="0" fontId="10" fillId="0" borderId="2" xfId="0" applyFont="1" applyBorder="1" applyAlignment="1">
      <alignment horizontal="center" vertical="top"/>
    </xf>
    <xf numFmtId="0" fontId="10" fillId="0" borderId="2" xfId="0" applyFont="1" applyBorder="1" applyAlignment="1">
      <alignment horizontal="justify"/>
    </xf>
    <xf numFmtId="164" fontId="10" fillId="0" borderId="2" xfId="1" applyNumberFormat="1" applyFont="1" applyBorder="1" applyAlignment="1">
      <alignment horizontal="centerContinuous"/>
    </xf>
    <xf numFmtId="3" fontId="10" fillId="0" borderId="2" xfId="0" applyNumberFormat="1" applyFont="1" applyBorder="1"/>
    <xf numFmtId="43" fontId="2" fillId="0" borderId="2" xfId="1" applyFont="1" applyBorder="1"/>
    <xf numFmtId="43" fontId="5" fillId="0" borderId="2" xfId="1" applyFont="1" applyBorder="1"/>
    <xf numFmtId="43" fontId="13" fillId="0" borderId="2" xfId="1" applyFont="1" applyBorder="1"/>
    <xf numFmtId="164" fontId="2" fillId="0" borderId="2" xfId="1" applyNumberFormat="1" applyFont="1" applyBorder="1" applyAlignment="1">
      <alignment horizontal="right"/>
    </xf>
    <xf numFmtId="3" fontId="2" fillId="0" borderId="2" xfId="0" applyNumberFormat="1" applyFont="1" applyBorder="1"/>
    <xf numFmtId="164" fontId="2" fillId="0" borderId="2" xfId="1" applyNumberFormat="1" applyFont="1" applyFill="1" applyBorder="1" applyAlignment="1">
      <alignment wrapText="1"/>
    </xf>
    <xf numFmtId="0" fontId="10" fillId="0" borderId="2" xfId="0" applyFont="1" applyBorder="1" applyAlignment="1">
      <alignment horizontal="justify" vertical="justify"/>
    </xf>
    <xf numFmtId="164" fontId="10" fillId="0" borderId="2" xfId="1" applyNumberFormat="1" applyFont="1" applyBorder="1" applyAlignment="1">
      <alignment horizontal="justify" vertical="justify"/>
    </xf>
    <xf numFmtId="0" fontId="5" fillId="0" borderId="2" xfId="0" applyFont="1" applyBorder="1" applyAlignment="1">
      <alignment horizontal="justify" vertical="center"/>
    </xf>
    <xf numFmtId="164" fontId="5" fillId="0" borderId="2" xfId="1" applyNumberFormat="1" applyFont="1" applyBorder="1" applyAlignment="1">
      <alignment horizontal="justify" vertical="justify"/>
    </xf>
    <xf numFmtId="3" fontId="2" fillId="0" borderId="2" xfId="1" quotePrefix="1" applyNumberFormat="1" applyFont="1" applyBorder="1"/>
    <xf numFmtId="0" fontId="5" fillId="0" borderId="2" xfId="0" applyFont="1" applyBorder="1" applyAlignment="1">
      <alignment horizontal="justify" vertical="justify"/>
    </xf>
    <xf numFmtId="0" fontId="5" fillId="0" borderId="0" xfId="0" applyFont="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5" fillId="2" borderId="2" xfId="0" applyFont="1" applyFill="1" applyBorder="1" applyAlignment="1">
      <alignment horizontal="center" vertical="center" wrapText="1"/>
    </xf>
    <xf numFmtId="0" fontId="5" fillId="0" borderId="0" xfId="0" applyFont="1" applyAlignment="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165" fontId="5" fillId="2" borderId="1" xfId="1" applyNumberFormat="1" applyFont="1" applyFill="1" applyBorder="1" applyAlignment="1">
      <alignment horizontal="right" vertical="center" wrapText="1"/>
    </xf>
    <xf numFmtId="165" fontId="5" fillId="0" borderId="0" xfId="0" applyNumberFormat="1" applyFont="1" applyAlignme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165" fontId="2" fillId="2" borderId="1" xfId="1" applyNumberFormat="1" applyFont="1" applyFill="1" applyBorder="1" applyAlignment="1">
      <alignment horizontal="right" vertical="center" wrapText="1"/>
    </xf>
    <xf numFmtId="0" fontId="13" fillId="0" borderId="0" xfId="0" applyFont="1" applyAlignment="1">
      <alignment vertical="center"/>
    </xf>
    <xf numFmtId="0" fontId="2" fillId="2" borderId="3" xfId="0" applyFont="1" applyFill="1" applyBorder="1" applyAlignment="1">
      <alignment horizontal="center" vertical="center" wrapText="1"/>
    </xf>
    <xf numFmtId="0" fontId="2" fillId="2" borderId="3" xfId="0" applyFont="1" applyFill="1" applyBorder="1" applyAlignment="1">
      <alignment vertical="center" wrapText="1"/>
    </xf>
    <xf numFmtId="165" fontId="2" fillId="2" borderId="3" xfId="1" applyNumberFormat="1" applyFont="1" applyFill="1" applyBorder="1" applyAlignment="1">
      <alignment horizontal="right" vertical="center" wrapText="1"/>
    </xf>
    <xf numFmtId="0" fontId="5" fillId="2" borderId="4" xfId="0" applyFont="1" applyFill="1" applyBorder="1" applyAlignment="1">
      <alignment horizontal="center" vertical="center" wrapText="1"/>
    </xf>
    <xf numFmtId="0" fontId="5" fillId="2" borderId="4" xfId="0" applyFont="1" applyFill="1" applyBorder="1" applyAlignment="1">
      <alignment vertical="center" wrapText="1"/>
    </xf>
    <xf numFmtId="165" fontId="2" fillId="2" borderId="4" xfId="1" applyNumberFormat="1" applyFont="1" applyFill="1" applyBorder="1" applyAlignment="1">
      <alignment horizontal="right" vertical="center" wrapText="1"/>
    </xf>
    <xf numFmtId="0" fontId="15" fillId="0" borderId="0" xfId="0" applyFont="1" applyAlignment="1">
      <alignment vertical="center"/>
    </xf>
    <xf numFmtId="0" fontId="15" fillId="0" borderId="0" xfId="0" applyFont="1"/>
    <xf numFmtId="164" fontId="2" fillId="0" borderId="0" xfId="1" applyNumberFormat="1" applyFont="1" applyFill="1"/>
    <xf numFmtId="164" fontId="13" fillId="0" borderId="5" xfId="0" applyNumberFormat="1" applyFont="1" applyBorder="1"/>
    <xf numFmtId="164" fontId="13" fillId="0" borderId="0" xfId="0" applyNumberFormat="1" applyFont="1"/>
    <xf numFmtId="0" fontId="2" fillId="0" borderId="0" xfId="0" applyFont="1" applyAlignment="1">
      <alignment horizontal="centerContinuous"/>
    </xf>
    <xf numFmtId="0" fontId="15" fillId="0" borderId="0" xfId="0" applyFont="1" applyAlignment="1">
      <alignment horizontal="centerContinuous"/>
    </xf>
    <xf numFmtId="0" fontId="13" fillId="0" borderId="2" xfId="0" applyFont="1" applyBorder="1" applyAlignment="1">
      <alignment horizontal="center"/>
    </xf>
    <xf numFmtId="0" fontId="13" fillId="0" borderId="2" xfId="0" quotePrefix="1" applyFont="1" applyBorder="1" applyAlignment="1">
      <alignment horizontal="center"/>
    </xf>
    <xf numFmtId="164" fontId="9" fillId="0" borderId="0" xfId="1" applyNumberFormat="1" applyFont="1" applyFill="1" applyAlignment="1">
      <alignment horizontal="right"/>
    </xf>
    <xf numFmtId="164" fontId="12" fillId="0" borderId="0" xfId="1" applyNumberFormat="1" applyFont="1" applyFill="1"/>
    <xf numFmtId="0" fontId="5" fillId="0" borderId="2" xfId="0" applyFont="1" applyBorder="1" applyAlignment="1">
      <alignment horizontal="center"/>
    </xf>
    <xf numFmtId="164" fontId="9" fillId="0" borderId="2" xfId="1" applyNumberFormat="1" applyFont="1" applyBorder="1" applyAlignment="1">
      <alignment horizontal="center" vertical="center" wrapText="1"/>
    </xf>
    <xf numFmtId="164" fontId="9" fillId="0" borderId="2" xfId="1" applyNumberFormat="1" applyFont="1" applyFill="1" applyBorder="1" applyAlignment="1">
      <alignment horizontal="center" vertical="center" wrapText="1"/>
    </xf>
    <xf numFmtId="0" fontId="13" fillId="0" borderId="0" xfId="0" applyFont="1" applyAlignment="1">
      <alignment horizontal="center" vertical="center"/>
    </xf>
    <xf numFmtId="0" fontId="13" fillId="0" borderId="2" xfId="0" applyFont="1" applyBorder="1" applyAlignment="1">
      <alignment horizontal="center" vertical="center"/>
    </xf>
    <xf numFmtId="164" fontId="13" fillId="0" borderId="2" xfId="1" quotePrefix="1" applyNumberFormat="1" applyFont="1" applyBorder="1" applyAlignment="1">
      <alignment horizontal="center" vertical="center"/>
    </xf>
    <xf numFmtId="0" fontId="15" fillId="0" borderId="0" xfId="0" applyFont="1" applyAlignment="1">
      <alignment horizontal="center"/>
    </xf>
    <xf numFmtId="0" fontId="2"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5" fillId="2" borderId="2" xfId="0" applyFont="1" applyFill="1" applyBorder="1" applyAlignment="1">
      <alignment vertical="center" wrapText="1"/>
    </xf>
    <xf numFmtId="165" fontId="5" fillId="2" borderId="2" xfId="1" applyNumberFormat="1" applyFont="1" applyFill="1" applyBorder="1" applyAlignment="1">
      <alignment horizontal="right" vertical="center" wrapText="1"/>
    </xf>
    <xf numFmtId="43" fontId="5" fillId="2" borderId="2" xfId="1" applyFont="1" applyFill="1" applyBorder="1" applyAlignment="1">
      <alignment horizontal="right" vertical="center" wrapText="1"/>
    </xf>
    <xf numFmtId="0" fontId="5" fillId="2" borderId="2" xfId="0" quotePrefix="1" applyFont="1" applyFill="1" applyBorder="1" applyAlignment="1">
      <alignment horizontal="center" vertical="center" wrapText="1"/>
    </xf>
    <xf numFmtId="0" fontId="2" fillId="2" borderId="2" xfId="0" applyFont="1" applyFill="1" applyBorder="1" applyAlignment="1">
      <alignment vertical="center" wrapText="1"/>
    </xf>
    <xf numFmtId="165" fontId="2" fillId="2" borderId="2" xfId="1" applyNumberFormat="1" applyFont="1" applyFill="1" applyBorder="1" applyAlignment="1">
      <alignment horizontal="right" vertical="center" wrapText="1"/>
    </xf>
    <xf numFmtId="43" fontId="2" fillId="2" borderId="2" xfId="1" applyFont="1" applyFill="1" applyBorder="1" applyAlignment="1">
      <alignment horizontal="right" vertical="center" wrapText="1"/>
    </xf>
    <xf numFmtId="0" fontId="13" fillId="2" borderId="2" xfId="0" quotePrefix="1" applyFont="1" applyFill="1" applyBorder="1" applyAlignment="1">
      <alignment vertical="center" wrapText="1"/>
    </xf>
    <xf numFmtId="0" fontId="13" fillId="0" borderId="2" xfId="0" applyFont="1" applyBorder="1" applyAlignment="1">
      <alignment vertical="center"/>
    </xf>
    <xf numFmtId="165" fontId="13" fillId="2" borderId="2" xfId="1" applyNumberFormat="1" applyFont="1" applyFill="1" applyBorder="1" applyAlignment="1">
      <alignment horizontal="right" vertical="center" wrapText="1"/>
    </xf>
    <xf numFmtId="0" fontId="2" fillId="2" borderId="2" xfId="0" quotePrefix="1" applyFont="1" applyFill="1" applyBorder="1" applyAlignment="1">
      <alignment vertical="center" wrapText="1"/>
    </xf>
    <xf numFmtId="0" fontId="13" fillId="2" borderId="2" xfId="0" applyFont="1" applyFill="1" applyBorder="1" applyAlignment="1">
      <alignment vertical="center" wrapText="1"/>
    </xf>
    <xf numFmtId="164" fontId="5" fillId="0" borderId="2" xfId="1" applyNumberFormat="1" applyFont="1" applyFill="1" applyBorder="1" applyAlignment="1">
      <alignment horizontal="centerContinuous"/>
    </xf>
    <xf numFmtId="43" fontId="5" fillId="0" borderId="2" xfId="1" applyFont="1" applyBorder="1" applyAlignment="1">
      <alignment horizontal="centerContinuous"/>
    </xf>
    <xf numFmtId="164" fontId="5" fillId="0" borderId="2" xfId="1" applyNumberFormat="1" applyFont="1" applyFill="1" applyBorder="1" applyAlignment="1"/>
    <xf numFmtId="3" fontId="5" fillId="0" borderId="2" xfId="0" applyNumberFormat="1" applyFont="1" applyBorder="1"/>
    <xf numFmtId="43" fontId="2" fillId="0" borderId="2" xfId="1" applyFont="1" applyBorder="1" applyAlignment="1">
      <alignment horizontal="centerContinuous"/>
    </xf>
    <xf numFmtId="164" fontId="2" fillId="0" borderId="2" xfId="1" quotePrefix="1" applyNumberFormat="1" applyFont="1" applyFill="1" applyBorder="1" applyAlignment="1"/>
    <xf numFmtId="43" fontId="2" fillId="0" borderId="2" xfId="1" applyFont="1" applyFill="1" applyBorder="1"/>
    <xf numFmtId="164" fontId="2" fillId="0" borderId="2" xfId="1" applyNumberFormat="1" applyFont="1" applyBorder="1" applyAlignment="1"/>
    <xf numFmtId="164" fontId="5" fillId="0" borderId="2" xfId="1" quotePrefix="1" applyNumberFormat="1" applyFont="1" applyFill="1" applyBorder="1"/>
    <xf numFmtId="164" fontId="5" fillId="0" borderId="2" xfId="1" applyNumberFormat="1" applyFont="1" applyFill="1" applyBorder="1"/>
    <xf numFmtId="164" fontId="2" fillId="0" borderId="2" xfId="1" applyNumberFormat="1" applyFont="1" applyFill="1" applyBorder="1" applyAlignment="1"/>
    <xf numFmtId="43" fontId="2" fillId="0" borderId="2" xfId="1" applyFont="1" applyBorder="1" applyAlignment="1"/>
    <xf numFmtId="164" fontId="5" fillId="0" borderId="2" xfId="1" quotePrefix="1" applyNumberFormat="1" applyFont="1" applyBorder="1"/>
    <xf numFmtId="164" fontId="5" fillId="0" borderId="2" xfId="1" quotePrefix="1" applyNumberFormat="1" applyFont="1" applyBorder="1" applyAlignment="1"/>
    <xf numFmtId="43" fontId="5" fillId="0" borderId="2" xfId="1" applyFont="1" applyBorder="1" applyAlignment="1"/>
    <xf numFmtId="164" fontId="5" fillId="0" borderId="2" xfId="1" quotePrefix="1" applyNumberFormat="1" applyFont="1" applyFill="1" applyBorder="1" applyAlignment="1"/>
    <xf numFmtId="0" fontId="10" fillId="0" borderId="2" xfId="0" applyFont="1" applyBorder="1" applyAlignment="1">
      <alignment horizontal="center"/>
    </xf>
    <xf numFmtId="3" fontId="5" fillId="0" borderId="2" xfId="1" applyNumberFormat="1" applyFont="1" applyBorder="1" applyAlignment="1">
      <alignment horizontal="right"/>
    </xf>
    <xf numFmtId="3" fontId="5" fillId="0" borderId="2" xfId="1" applyNumberFormat="1" applyFont="1" applyBorder="1" applyAlignment="1"/>
    <xf numFmtId="3" fontId="2" fillId="0" borderId="2" xfId="1" applyNumberFormat="1" applyFont="1" applyBorder="1" applyAlignment="1"/>
    <xf numFmtId="3" fontId="2" fillId="0" borderId="2" xfId="1" quotePrefix="1" applyNumberFormat="1" applyFont="1" applyBorder="1" applyAlignment="1"/>
    <xf numFmtId="3" fontId="5" fillId="0" borderId="2" xfId="1" quotePrefix="1" applyNumberFormat="1" applyFont="1" applyBorder="1" applyAlignment="1"/>
    <xf numFmtId="0" fontId="5" fillId="0" borderId="2" xfId="0" applyFont="1" applyBorder="1" applyAlignment="1">
      <alignment horizontal="left"/>
    </xf>
    <xf numFmtId="0" fontId="9" fillId="0" borderId="2" xfId="0" applyFont="1" applyBorder="1"/>
    <xf numFmtId="0" fontId="8" fillId="0" borderId="2" xfId="0" quotePrefix="1" applyFont="1" applyBorder="1" applyAlignment="1">
      <alignment horizontal="center"/>
    </xf>
    <xf numFmtId="164" fontId="2" fillId="0" borderId="0" xfId="0" applyNumberFormat="1" applyFont="1"/>
    <xf numFmtId="0" fontId="13" fillId="2" borderId="2" xfId="0" quotePrefix="1" applyFont="1" applyFill="1" applyBorder="1" applyAlignment="1">
      <alignment horizontal="center" vertical="center" wrapText="1"/>
    </xf>
    <xf numFmtId="164" fontId="15" fillId="0" borderId="0" xfId="0" applyNumberFormat="1" applyFont="1" applyAlignment="1">
      <alignment horizontal="center"/>
    </xf>
    <xf numFmtId="164" fontId="17" fillId="0" borderId="2" xfId="0" applyNumberFormat="1" applyFont="1" applyBorder="1" applyAlignment="1">
      <alignment horizontal="center"/>
    </xf>
    <xf numFmtId="164" fontId="5" fillId="0" borderId="0" xfId="0" applyNumberFormat="1" applyFont="1" applyAlignment="1">
      <alignment horizontal="center"/>
    </xf>
    <xf numFmtId="0" fontId="2" fillId="0" borderId="2" xfId="0" applyFont="1" applyBorder="1"/>
    <xf numFmtId="43" fontId="5" fillId="0" borderId="2" xfId="1" applyFont="1" applyFill="1" applyBorder="1" applyAlignment="1">
      <alignment horizontal="center"/>
    </xf>
    <xf numFmtId="167" fontId="5" fillId="0" borderId="0" xfId="1" applyNumberFormat="1" applyFont="1"/>
    <xf numFmtId="3" fontId="15" fillId="0" borderId="0" xfId="0" applyNumberFormat="1" applyFont="1"/>
    <xf numFmtId="0" fontId="2" fillId="0" borderId="0" xfId="0" applyFont="1" applyAlignment="1">
      <alignment horizontal="left"/>
    </xf>
    <xf numFmtId="164" fontId="5" fillId="0" borderId="2" xfId="1" applyNumberFormat="1" applyFont="1" applyBorder="1" applyAlignment="1">
      <alignment horizontal="center" vertical="center" wrapText="1"/>
    </xf>
    <xf numFmtId="0" fontId="13" fillId="0" borderId="0" xfId="0" applyFont="1" applyAlignment="1">
      <alignment horizontal="right"/>
    </xf>
    <xf numFmtId="164" fontId="5" fillId="0" borderId="2" xfId="1" applyNumberFormat="1" applyFont="1" applyBorder="1" applyAlignment="1">
      <alignment horizontal="right"/>
    </xf>
    <xf numFmtId="43" fontId="5" fillId="0" borderId="2" xfId="1" applyFont="1" applyBorder="1" applyAlignment="1">
      <alignment horizontal="left"/>
    </xf>
    <xf numFmtId="43" fontId="5" fillId="0" borderId="2" xfId="1" applyFont="1" applyBorder="1" applyAlignment="1">
      <alignment horizontal="justify"/>
    </xf>
    <xf numFmtId="0" fontId="5" fillId="0" borderId="0" xfId="0" applyFont="1" applyAlignment="1">
      <alignment horizontal="center" vertical="center"/>
    </xf>
    <xf numFmtId="164" fontId="13" fillId="0" borderId="2" xfId="1" applyNumberFormat="1" applyFont="1" applyBorder="1" applyAlignment="1">
      <alignment horizontal="justify"/>
    </xf>
    <xf numFmtId="164" fontId="2" fillId="0" borderId="2" xfId="1" applyNumberFormat="1" applyFont="1" applyBorder="1" applyAlignment="1">
      <alignment horizontal="justify" wrapText="1"/>
    </xf>
    <xf numFmtId="164" fontId="2" fillId="0" borderId="2" xfId="1" applyNumberFormat="1" applyFont="1" applyBorder="1" applyAlignment="1">
      <alignment horizontal="left"/>
    </xf>
    <xf numFmtId="0" fontId="13" fillId="0" borderId="2" xfId="0" quotePrefix="1" applyFont="1" applyBorder="1" applyAlignment="1">
      <alignment horizontal="center" vertical="center"/>
    </xf>
    <xf numFmtId="164" fontId="10" fillId="0" borderId="2" xfId="1" applyNumberFormat="1" applyFont="1" applyBorder="1" applyAlignment="1">
      <alignment horizontal="justify"/>
    </xf>
    <xf numFmtId="164" fontId="5" fillId="0" borderId="2" xfId="1" applyNumberFormat="1" applyFont="1" applyFill="1" applyBorder="1" applyAlignment="1">
      <alignment horizontal="right"/>
    </xf>
    <xf numFmtId="43" fontId="5" fillId="0" borderId="2" xfId="1" applyFont="1" applyFill="1" applyBorder="1" applyAlignment="1">
      <alignment horizontal="centerContinuous"/>
    </xf>
    <xf numFmtId="43" fontId="5" fillId="0" borderId="2" xfId="1" applyFont="1" applyFill="1" applyBorder="1" applyAlignment="1">
      <alignment horizontal="right"/>
    </xf>
    <xf numFmtId="164" fontId="2" fillId="0" borderId="2" xfId="1" applyNumberFormat="1" applyFont="1" applyBorder="1" applyAlignment="1">
      <alignment horizontal="right" wrapText="1"/>
    </xf>
    <xf numFmtId="43" fontId="2" fillId="0" borderId="2" xfId="1" applyFont="1" applyFill="1" applyBorder="1" applyAlignment="1">
      <alignment horizontal="centerContinuous"/>
    </xf>
    <xf numFmtId="3" fontId="2" fillId="0" borderId="2" xfId="1" applyNumberFormat="1" applyFont="1" applyFill="1" applyBorder="1" applyAlignment="1"/>
    <xf numFmtId="3" fontId="5" fillId="0" borderId="2" xfId="1" applyNumberFormat="1" applyFont="1" applyFill="1" applyBorder="1" applyAlignment="1"/>
    <xf numFmtId="164" fontId="2" fillId="0" borderId="2" xfId="1" quotePrefix="1" applyNumberFormat="1" applyFont="1" applyBorder="1" applyAlignment="1">
      <alignment horizontal="right"/>
    </xf>
    <xf numFmtId="164" fontId="5" fillId="0" borderId="2" xfId="1" quotePrefix="1" applyNumberFormat="1" applyFont="1" applyBorder="1" applyAlignment="1">
      <alignment horizontal="right"/>
    </xf>
    <xf numFmtId="3" fontId="5" fillId="0" borderId="2" xfId="1" applyNumberFormat="1" applyFont="1" applyFill="1" applyBorder="1" applyAlignment="1">
      <alignment horizontal="right"/>
    </xf>
    <xf numFmtId="3" fontId="5" fillId="0" borderId="2" xfId="1" applyNumberFormat="1" applyFont="1" applyFill="1" applyBorder="1"/>
    <xf numFmtId="3" fontId="5" fillId="0" borderId="2" xfId="1" applyNumberFormat="1" applyFont="1" applyBorder="1"/>
    <xf numFmtId="3" fontId="2" fillId="0" borderId="2" xfId="1" applyNumberFormat="1" applyFont="1" applyFill="1" applyBorder="1"/>
    <xf numFmtId="3" fontId="2" fillId="0" borderId="2" xfId="1" quotePrefix="1" applyNumberFormat="1" applyFont="1" applyFill="1" applyBorder="1"/>
    <xf numFmtId="3" fontId="2" fillId="0" borderId="2" xfId="1" applyNumberFormat="1" applyFont="1" applyBorder="1"/>
    <xf numFmtId="3" fontId="2" fillId="0" borderId="2" xfId="1" applyNumberFormat="1" applyFont="1" applyBorder="1" applyAlignment="1">
      <alignment horizontal="right"/>
    </xf>
    <xf numFmtId="0" fontId="9" fillId="0" borderId="2"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justify" vertical="center"/>
    </xf>
    <xf numFmtId="164" fontId="2" fillId="0" borderId="2" xfId="1" applyNumberFormat="1" applyFont="1" applyBorder="1" applyAlignment="1">
      <alignment horizontal="right" vertical="center"/>
    </xf>
    <xf numFmtId="3" fontId="2" fillId="0" borderId="2" xfId="1" applyNumberFormat="1" applyFont="1" applyBorder="1" applyAlignment="1">
      <alignment vertical="center"/>
    </xf>
    <xf numFmtId="164" fontId="9" fillId="0" borderId="2" xfId="1" applyNumberFormat="1" applyFont="1" applyBorder="1" applyAlignment="1">
      <alignment vertical="center"/>
    </xf>
    <xf numFmtId="164" fontId="9" fillId="0" borderId="2" xfId="1" applyNumberFormat="1" applyFont="1" applyFill="1" applyBorder="1" applyAlignment="1">
      <alignment vertical="center"/>
    </xf>
    <xf numFmtId="0" fontId="8" fillId="0" borderId="2" xfId="0" applyFont="1" applyBorder="1" applyAlignment="1">
      <alignment vertical="center"/>
    </xf>
    <xf numFmtId="164" fontId="8" fillId="0" borderId="2" xfId="1" applyNumberFormat="1" applyFont="1" applyBorder="1" applyAlignment="1">
      <alignment vertical="center"/>
    </xf>
    <xf numFmtId="164" fontId="8" fillId="0" borderId="2" xfId="1" applyNumberFormat="1" applyFont="1" applyFill="1" applyBorder="1" applyAlignment="1">
      <alignment vertical="center"/>
    </xf>
    <xf numFmtId="164" fontId="8" fillId="0" borderId="2" xfId="1" quotePrefix="1" applyNumberFormat="1" applyFont="1" applyFill="1" applyBorder="1" applyAlignment="1">
      <alignment vertical="center"/>
    </xf>
    <xf numFmtId="164" fontId="2" fillId="0" borderId="5" xfId="1" applyNumberFormat="1" applyFont="1" applyBorder="1" applyAlignment="1">
      <alignment horizontal="center"/>
    </xf>
    <xf numFmtId="0" fontId="5" fillId="0" borderId="0" xfId="0" applyFont="1" applyAlignment="1">
      <alignment horizontal="center"/>
    </xf>
    <xf numFmtId="0" fontId="2" fillId="0" borderId="0" xfId="0" applyFont="1" applyAlignment="1">
      <alignment horizontal="left"/>
    </xf>
    <xf numFmtId="164" fontId="5" fillId="0" borderId="2" xfId="1" applyNumberFormat="1" applyFont="1" applyBorder="1" applyAlignment="1">
      <alignment horizontal="center" vertical="center" wrapText="1"/>
    </xf>
    <xf numFmtId="164" fontId="5" fillId="0" borderId="2" xfId="1" applyNumberFormat="1"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164" fontId="5" fillId="0" borderId="0" xfId="1" applyNumberFormat="1" applyFont="1" applyAlignment="1">
      <alignment horizontal="center"/>
    </xf>
    <xf numFmtId="0" fontId="13" fillId="0" borderId="0" xfId="0" applyFont="1" applyAlignment="1">
      <alignment horizontal="center"/>
    </xf>
    <xf numFmtId="164" fontId="13" fillId="0" borderId="0" xfId="1" applyNumberFormat="1" applyFont="1" applyBorder="1" applyAlignment="1">
      <alignment horizontal="right"/>
    </xf>
    <xf numFmtId="0" fontId="13" fillId="0" borderId="0" xfId="0" applyFont="1" applyAlignment="1">
      <alignment horizontal="right"/>
    </xf>
    <xf numFmtId="0" fontId="5"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vertical="top" wrapText="1"/>
    </xf>
    <xf numFmtId="0" fontId="5" fillId="2" borderId="2" xfId="0"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xf>
    <xf numFmtId="0" fontId="5" fillId="0" borderId="2" xfId="0" applyFont="1" applyBorder="1" applyAlignment="1">
      <alignment horizontal="center" wrapText="1"/>
    </xf>
    <xf numFmtId="0" fontId="5" fillId="0" borderId="2" xfId="0" applyFont="1" applyBorder="1" applyAlignment="1">
      <alignment horizontal="center"/>
    </xf>
    <xf numFmtId="0" fontId="4" fillId="0" borderId="0" xfId="0" applyFont="1" applyAlignment="1">
      <alignment horizontal="center"/>
    </xf>
    <xf numFmtId="164" fontId="5" fillId="0" borderId="0" xfId="1" applyNumberFormat="1" applyFont="1" applyAlignment="1">
      <alignment horizontal="right"/>
    </xf>
    <xf numFmtId="0" fontId="2" fillId="0" borderId="5" xfId="0" applyFont="1" applyBorder="1" applyAlignment="1">
      <alignment horizontal="center"/>
    </xf>
    <xf numFmtId="164" fontId="9" fillId="0" borderId="0" xfId="1" applyNumberFormat="1" applyFont="1" applyAlignment="1">
      <alignment horizontal="right"/>
    </xf>
    <xf numFmtId="164" fontId="9" fillId="0" borderId="2" xfId="1" applyNumberFormat="1" applyFont="1" applyBorder="1" applyAlignment="1">
      <alignment horizontal="center" vertical="center" wrapText="1"/>
    </xf>
    <xf numFmtId="0" fontId="9" fillId="0" borderId="2" xfId="0" applyFont="1" applyBorder="1" applyAlignment="1">
      <alignment horizontal="center" vertical="center"/>
    </xf>
    <xf numFmtId="0" fontId="9" fillId="0" borderId="0" xfId="0" applyFont="1" applyAlignment="1">
      <alignment horizontal="center"/>
    </xf>
    <xf numFmtId="164" fontId="11" fillId="0" borderId="5" xfId="1" applyNumberFormat="1" applyFont="1" applyBorder="1" applyAlignment="1">
      <alignment horizontal="right"/>
    </xf>
    <xf numFmtId="164" fontId="9" fillId="0" borderId="2" xfId="1" applyNumberFormat="1" applyFont="1" applyFill="1" applyBorder="1" applyAlignment="1">
      <alignment horizontal="center" vertical="center" wrapText="1"/>
    </xf>
    <xf numFmtId="0" fontId="11" fillId="0" borderId="0" xfId="0" applyFont="1" applyAlignment="1">
      <alignment horizontal="center"/>
    </xf>
    <xf numFmtId="164" fontId="9" fillId="0" borderId="2" xfId="1" applyNumberFormat="1" applyFont="1" applyBorder="1" applyAlignment="1">
      <alignment horizontal="center" vertical="center"/>
    </xf>
    <xf numFmtId="0" fontId="9" fillId="0" borderId="2" xfId="0" applyFont="1" applyBorder="1" applyAlignment="1">
      <alignment horizontal="center" vertical="center" wrapText="1"/>
    </xf>
    <xf numFmtId="0" fontId="2" fillId="0" borderId="0" xfId="0" applyFont="1" applyAlignment="1">
      <alignment horizontal="center"/>
    </xf>
    <xf numFmtId="0" fontId="2" fillId="0" borderId="2" xfId="0" quotePrefix="1" applyFont="1" applyBorder="1" applyAlignment="1">
      <alignment horizontal="center" vertical="center"/>
    </xf>
    <xf numFmtId="164" fontId="2" fillId="0" borderId="2" xfId="1" quotePrefix="1" applyNumberFormat="1" applyFont="1" applyFill="1" applyBorder="1" applyAlignment="1">
      <alignment vertical="center"/>
    </xf>
    <xf numFmtId="43" fontId="2" fillId="0" borderId="2" xfId="1" applyFont="1" applyFill="1" applyBorder="1" applyAlignment="1">
      <alignment horizontal="center" vertical="center"/>
    </xf>
    <xf numFmtId="3" fontId="2" fillId="0" borderId="2" xfId="0" applyNumberFormat="1" applyFont="1" applyBorder="1" applyAlignment="1">
      <alignment vertical="center"/>
    </xf>
    <xf numFmtId="43" fontId="2" fillId="0" borderId="2" xfId="1" applyFont="1" applyBorder="1" applyAlignment="1">
      <alignment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workbookViewId="0">
      <selection activeCell="G6" sqref="G6"/>
    </sheetView>
  </sheetViews>
  <sheetFormatPr defaultColWidth="9.140625" defaultRowHeight="18.75" x14ac:dyDescent="0.3"/>
  <cols>
    <col min="1" max="1" width="8.140625" style="22" customWidth="1"/>
    <col min="2" max="2" width="47.85546875" style="22" customWidth="1"/>
    <col min="3" max="3" width="16.5703125" style="22" bestFit="1" customWidth="1"/>
    <col min="4" max="4" width="17.28515625" style="30" customWidth="1"/>
    <col min="5" max="5" width="17.85546875" style="30" customWidth="1"/>
    <col min="6" max="6" width="14" style="30" customWidth="1"/>
    <col min="7" max="7" width="15.28515625" style="30" customWidth="1"/>
    <col min="8" max="8" width="14.28515625" style="31" customWidth="1"/>
    <col min="9" max="9" width="14.5703125" style="30" customWidth="1"/>
    <col min="10" max="11" width="9.140625" style="22"/>
    <col min="12" max="12" width="11.42578125" style="22" bestFit="1" customWidth="1"/>
    <col min="13" max="16384" width="9.140625" style="22"/>
  </cols>
  <sheetData>
    <row r="1" spans="1:12" x14ac:dyDescent="0.3">
      <c r="A1" s="209"/>
      <c r="B1" s="209"/>
      <c r="C1" s="168"/>
      <c r="H1" s="214" t="s">
        <v>286</v>
      </c>
      <c r="I1" s="214"/>
    </row>
    <row r="2" spans="1:12" x14ac:dyDescent="0.3">
      <c r="A2" s="208" t="s">
        <v>266</v>
      </c>
      <c r="B2" s="208"/>
      <c r="C2" s="208"/>
      <c r="D2" s="208"/>
      <c r="E2" s="208"/>
      <c r="F2" s="208"/>
      <c r="G2" s="208"/>
      <c r="H2" s="208"/>
      <c r="I2" s="208"/>
    </row>
    <row r="3" spans="1:12" x14ac:dyDescent="0.3">
      <c r="A3" s="215" t="s">
        <v>285</v>
      </c>
      <c r="B3" s="215"/>
      <c r="C3" s="215"/>
      <c r="D3" s="215"/>
      <c r="E3" s="215"/>
      <c r="F3" s="215"/>
      <c r="G3" s="215"/>
      <c r="H3" s="215"/>
      <c r="I3" s="215"/>
    </row>
    <row r="4" spans="1:12" ht="16.5" customHeight="1" x14ac:dyDescent="0.3">
      <c r="E4" s="28"/>
      <c r="F4" s="28"/>
      <c r="G4" s="28"/>
      <c r="H4" s="207" t="s">
        <v>12</v>
      </c>
      <c r="I4" s="207"/>
    </row>
    <row r="5" spans="1:12" s="23" customFormat="1" ht="55.5" customHeight="1" x14ac:dyDescent="0.3">
      <c r="A5" s="212" t="s">
        <v>3</v>
      </c>
      <c r="B5" s="212" t="s">
        <v>21</v>
      </c>
      <c r="C5" s="210" t="s">
        <v>270</v>
      </c>
      <c r="D5" s="210" t="s">
        <v>272</v>
      </c>
      <c r="E5" s="210" t="s">
        <v>271</v>
      </c>
      <c r="F5" s="210" t="s">
        <v>277</v>
      </c>
      <c r="G5" s="210"/>
      <c r="H5" s="213" t="s">
        <v>278</v>
      </c>
      <c r="I5" s="212"/>
    </row>
    <row r="6" spans="1:12" s="47" customFormat="1" ht="33" customHeight="1" x14ac:dyDescent="0.3">
      <c r="A6" s="212"/>
      <c r="B6" s="212"/>
      <c r="C6" s="211"/>
      <c r="D6" s="211"/>
      <c r="E6" s="211"/>
      <c r="F6" s="1" t="s">
        <v>20</v>
      </c>
      <c r="G6" s="169" t="s">
        <v>24</v>
      </c>
      <c r="H6" s="1" t="s">
        <v>20</v>
      </c>
      <c r="I6" s="169" t="s">
        <v>24</v>
      </c>
    </row>
    <row r="7" spans="1:12" s="116" customFormat="1" ht="18" customHeight="1" x14ac:dyDescent="0.2">
      <c r="A7" s="117" t="s">
        <v>0</v>
      </c>
      <c r="B7" s="117" t="s">
        <v>1</v>
      </c>
      <c r="C7" s="178" t="s">
        <v>22</v>
      </c>
      <c r="D7" s="178" t="s">
        <v>23</v>
      </c>
      <c r="E7" s="178" t="s">
        <v>118</v>
      </c>
      <c r="F7" s="178" t="s">
        <v>275</v>
      </c>
      <c r="G7" s="178" t="s">
        <v>276</v>
      </c>
      <c r="H7" s="118" t="s">
        <v>273</v>
      </c>
      <c r="I7" s="118" t="s">
        <v>274</v>
      </c>
    </row>
    <row r="8" spans="1:12" s="47" customFormat="1" ht="18" customHeight="1" x14ac:dyDescent="0.3">
      <c r="A8" s="113" t="s">
        <v>0</v>
      </c>
      <c r="B8" s="40" t="s">
        <v>188</v>
      </c>
      <c r="C8" s="32">
        <f>C9+C13+C14+C15</f>
        <v>114010</v>
      </c>
      <c r="D8" s="32">
        <f>D9+D13+D14+D15</f>
        <v>114010</v>
      </c>
      <c r="E8" s="32">
        <f>E9+E13+E14+E15</f>
        <v>183810</v>
      </c>
      <c r="F8" s="32">
        <f>F9+F13+F14+F15</f>
        <v>0</v>
      </c>
      <c r="G8" s="72">
        <f t="shared" ref="G8:G9" si="0">D8/C8*100</f>
        <v>100</v>
      </c>
      <c r="H8" s="32">
        <f>H9+H13+H14+H15</f>
        <v>69800</v>
      </c>
      <c r="I8" s="33">
        <f>E8/D8*100</f>
        <v>161.22269976317867</v>
      </c>
      <c r="L8" s="163"/>
    </row>
    <row r="9" spans="1:12" s="47" customFormat="1" ht="18" customHeight="1" x14ac:dyDescent="0.3">
      <c r="A9" s="34">
        <v>1</v>
      </c>
      <c r="B9" s="35" t="s">
        <v>31</v>
      </c>
      <c r="C9" s="36">
        <f>C10+C11+C12</f>
        <v>114010</v>
      </c>
      <c r="D9" s="36">
        <f>D10+D11+D12</f>
        <v>114010</v>
      </c>
      <c r="E9" s="36">
        <f>E10+E11+E12</f>
        <v>183810</v>
      </c>
      <c r="F9" s="36">
        <f>F10+F11+F12</f>
        <v>0</v>
      </c>
      <c r="G9" s="71">
        <f t="shared" si="0"/>
        <v>100</v>
      </c>
      <c r="H9" s="37">
        <f>E9-D9</f>
        <v>69800</v>
      </c>
      <c r="I9" s="38">
        <f t="shared" ref="I9:I33" si="1">E9/D9*100</f>
        <v>161.22269976317867</v>
      </c>
    </row>
    <row r="10" spans="1:12" s="47" customFormat="1" ht="18" customHeight="1" x14ac:dyDescent="0.3">
      <c r="A10" s="34"/>
      <c r="B10" s="35" t="s">
        <v>4</v>
      </c>
      <c r="C10" s="46">
        <v>108310</v>
      </c>
      <c r="D10" s="36">
        <f>49900+24000+5300+25610+3500</f>
        <v>108310</v>
      </c>
      <c r="E10" s="36">
        <f>D10+69800</f>
        <v>178110</v>
      </c>
      <c r="F10" s="36">
        <f>D10-C10</f>
        <v>0</v>
      </c>
      <c r="G10" s="71">
        <f>D10/C10*100</f>
        <v>100</v>
      </c>
      <c r="H10" s="37">
        <f t="shared" ref="H10:H33" si="2">E10-D10</f>
        <v>69800</v>
      </c>
      <c r="I10" s="38">
        <f>E10/D10*100</f>
        <v>164.44464961684056</v>
      </c>
    </row>
    <row r="11" spans="1:12" s="47" customFormat="1" ht="18" customHeight="1" x14ac:dyDescent="0.3">
      <c r="A11" s="34"/>
      <c r="B11" s="35" t="s">
        <v>5</v>
      </c>
      <c r="C11" s="46">
        <v>2700</v>
      </c>
      <c r="D11" s="36">
        <f>2300+400</f>
        <v>2700</v>
      </c>
      <c r="E11" s="36">
        <f>D11</f>
        <v>2700</v>
      </c>
      <c r="F11" s="36">
        <f t="shared" ref="F11:F15" si="3">D11-C11</f>
        <v>0</v>
      </c>
      <c r="G11" s="71">
        <f t="shared" ref="G11:G33" si="4">D11/C11*100</f>
        <v>100</v>
      </c>
      <c r="H11" s="37">
        <f t="shared" si="2"/>
        <v>0</v>
      </c>
      <c r="I11" s="38">
        <f t="shared" si="1"/>
        <v>100</v>
      </c>
    </row>
    <row r="12" spans="1:12" s="47" customFormat="1" ht="18" customHeight="1" x14ac:dyDescent="0.3">
      <c r="A12" s="34"/>
      <c r="B12" s="35" t="s">
        <v>16</v>
      </c>
      <c r="C12" s="46">
        <v>3000</v>
      </c>
      <c r="D12" s="36">
        <v>3000</v>
      </c>
      <c r="E12" s="36">
        <f>D12</f>
        <v>3000</v>
      </c>
      <c r="F12" s="36">
        <f t="shared" si="3"/>
        <v>0</v>
      </c>
      <c r="G12" s="71">
        <f t="shared" si="4"/>
        <v>100</v>
      </c>
      <c r="H12" s="37">
        <f t="shared" si="2"/>
        <v>0</v>
      </c>
      <c r="I12" s="38">
        <f t="shared" si="1"/>
        <v>100</v>
      </c>
    </row>
    <row r="13" spans="1:12" s="47" customFormat="1" ht="18" customHeight="1" x14ac:dyDescent="0.3">
      <c r="A13" s="34">
        <v>2</v>
      </c>
      <c r="B13" s="35" t="s">
        <v>6</v>
      </c>
      <c r="C13" s="35"/>
      <c r="D13" s="36"/>
      <c r="E13" s="36"/>
      <c r="F13" s="36">
        <f t="shared" si="3"/>
        <v>0</v>
      </c>
      <c r="G13" s="71"/>
      <c r="H13" s="39">
        <f t="shared" si="2"/>
        <v>0</v>
      </c>
      <c r="I13" s="33"/>
    </row>
    <row r="14" spans="1:12" s="47" customFormat="1" ht="18" customHeight="1" x14ac:dyDescent="0.3">
      <c r="A14" s="34">
        <v>3</v>
      </c>
      <c r="B14" s="35" t="s">
        <v>7</v>
      </c>
      <c r="C14" s="35"/>
      <c r="D14" s="36"/>
      <c r="E14" s="36"/>
      <c r="F14" s="36">
        <f t="shared" si="3"/>
        <v>0</v>
      </c>
      <c r="G14" s="71"/>
      <c r="H14" s="39">
        <f t="shared" si="2"/>
        <v>0</v>
      </c>
      <c r="I14" s="33"/>
    </row>
    <row r="15" spans="1:12" s="47" customFormat="1" ht="18" customHeight="1" x14ac:dyDescent="0.3">
      <c r="A15" s="34">
        <v>4</v>
      </c>
      <c r="B15" s="35" t="s">
        <v>8</v>
      </c>
      <c r="C15" s="35"/>
      <c r="D15" s="36"/>
      <c r="E15" s="36"/>
      <c r="F15" s="36">
        <f t="shared" si="3"/>
        <v>0</v>
      </c>
      <c r="G15" s="71"/>
      <c r="H15" s="39">
        <f t="shared" si="2"/>
        <v>0</v>
      </c>
      <c r="I15" s="33"/>
    </row>
    <row r="16" spans="1:12" ht="18" customHeight="1" x14ac:dyDescent="0.3">
      <c r="A16" s="48" t="s">
        <v>1</v>
      </c>
      <c r="B16" s="40" t="s">
        <v>14</v>
      </c>
      <c r="C16" s="49">
        <f>C17+C20+C23+C25+C24</f>
        <v>764162</v>
      </c>
      <c r="D16" s="49">
        <f>D17+D20+D23+D25+D24</f>
        <v>948437.68596899998</v>
      </c>
      <c r="E16" s="171">
        <f>E17+E20+E23+E25+E24</f>
        <v>952236.10596900003</v>
      </c>
      <c r="F16" s="171">
        <f>F17+F20+F23+F25+F24</f>
        <v>184275.68596899998</v>
      </c>
      <c r="G16" s="72">
        <f t="shared" si="4"/>
        <v>124.11474084932253</v>
      </c>
      <c r="H16" s="39">
        <f>E16-D16</f>
        <v>3798.4200000000419</v>
      </c>
      <c r="I16" s="33">
        <f t="shared" si="1"/>
        <v>100.4004923102691</v>
      </c>
    </row>
    <row r="17" spans="1:9" s="24" customFormat="1" ht="18" customHeight="1" x14ac:dyDescent="0.3">
      <c r="A17" s="34">
        <v>1</v>
      </c>
      <c r="B17" s="35" t="s">
        <v>204</v>
      </c>
      <c r="C17" s="36">
        <f>C18+C19</f>
        <v>110610</v>
      </c>
      <c r="D17" s="36">
        <f>D18+D19</f>
        <v>110610</v>
      </c>
      <c r="E17" s="36">
        <f>E18+E19</f>
        <v>110610</v>
      </c>
      <c r="F17" s="36">
        <f>F18+F19</f>
        <v>0</v>
      </c>
      <c r="G17" s="71">
        <f t="shared" si="4"/>
        <v>100</v>
      </c>
      <c r="H17" s="162">
        <f t="shared" si="2"/>
        <v>0</v>
      </c>
      <c r="I17" s="38">
        <f t="shared" si="1"/>
        <v>100</v>
      </c>
    </row>
    <row r="18" spans="1:9" s="24" customFormat="1" ht="18" customHeight="1" x14ac:dyDescent="0.3">
      <c r="A18" s="50"/>
      <c r="B18" s="43" t="s">
        <v>205</v>
      </c>
      <c r="C18" s="175">
        <v>110610</v>
      </c>
      <c r="D18" s="57">
        <f>110610-D19</f>
        <v>110610</v>
      </c>
      <c r="E18" s="57">
        <f>D18</f>
        <v>110610</v>
      </c>
      <c r="F18" s="57"/>
      <c r="G18" s="71">
        <f t="shared" si="4"/>
        <v>100</v>
      </c>
      <c r="H18" s="58">
        <f t="shared" si="2"/>
        <v>0</v>
      </c>
      <c r="I18" s="59">
        <f t="shared" si="1"/>
        <v>100</v>
      </c>
    </row>
    <row r="19" spans="1:9" s="24" customFormat="1" ht="18" customHeight="1" x14ac:dyDescent="0.3">
      <c r="A19" s="50"/>
      <c r="B19" s="43" t="s">
        <v>206</v>
      </c>
      <c r="C19" s="175"/>
      <c r="D19" s="57"/>
      <c r="E19" s="57">
        <v>0</v>
      </c>
      <c r="F19" s="57"/>
      <c r="G19" s="71"/>
      <c r="H19" s="58">
        <f t="shared" si="2"/>
        <v>0</v>
      </c>
      <c r="I19" s="59"/>
    </row>
    <row r="20" spans="1:9" s="24" customFormat="1" ht="18" customHeight="1" x14ac:dyDescent="0.3">
      <c r="A20" s="34">
        <v>2</v>
      </c>
      <c r="B20" s="35" t="s">
        <v>207</v>
      </c>
      <c r="C20" s="36">
        <f>C21+C22</f>
        <v>653552</v>
      </c>
      <c r="D20" s="36">
        <f>D21+D22</f>
        <v>674886</v>
      </c>
      <c r="E20" s="36">
        <f>E21+E22</f>
        <v>678684.42</v>
      </c>
      <c r="F20" s="36">
        <f>F21+F22</f>
        <v>21334</v>
      </c>
      <c r="G20" s="71">
        <f t="shared" si="4"/>
        <v>103.26431561681397</v>
      </c>
      <c r="H20" s="37">
        <f>E20-D20</f>
        <v>3798.4200000000419</v>
      </c>
      <c r="I20" s="38">
        <f t="shared" si="1"/>
        <v>100.56282394359937</v>
      </c>
    </row>
    <row r="21" spans="1:9" s="24" customFormat="1" ht="18" customHeight="1" x14ac:dyDescent="0.3">
      <c r="A21" s="50"/>
      <c r="B21" s="35" t="s">
        <v>208</v>
      </c>
      <c r="C21" s="46">
        <v>583539</v>
      </c>
      <c r="D21" s="51">
        <f>515704+67835</f>
        <v>583539</v>
      </c>
      <c r="E21" s="36">
        <f>D21</f>
        <v>583539</v>
      </c>
      <c r="F21" s="36">
        <f>D21-C21</f>
        <v>0</v>
      </c>
      <c r="G21" s="71">
        <f t="shared" si="4"/>
        <v>100</v>
      </c>
      <c r="H21" s="162">
        <f>E21-D21</f>
        <v>0</v>
      </c>
      <c r="I21" s="38">
        <f t="shared" si="1"/>
        <v>100</v>
      </c>
    </row>
    <row r="22" spans="1:9" s="24" customFormat="1" ht="18" customHeight="1" x14ac:dyDescent="0.3">
      <c r="A22" s="50"/>
      <c r="B22" s="35" t="s">
        <v>209</v>
      </c>
      <c r="C22" s="46">
        <v>70013</v>
      </c>
      <c r="D22" s="51">
        <v>91347</v>
      </c>
      <c r="E22" s="36">
        <v>95145.42</v>
      </c>
      <c r="F22" s="36">
        <f t="shared" ref="F22:F25" si="5">D22-C22</f>
        <v>21334</v>
      </c>
      <c r="G22" s="71">
        <f t="shared" si="4"/>
        <v>130.47148386728179</v>
      </c>
      <c r="H22" s="37">
        <f>E22-D22</f>
        <v>3798.4199999999983</v>
      </c>
      <c r="I22" s="38">
        <f t="shared" si="1"/>
        <v>104.15823179743178</v>
      </c>
    </row>
    <row r="23" spans="1:9" ht="18" customHeight="1" x14ac:dyDescent="0.3">
      <c r="A23" s="42" t="s">
        <v>118</v>
      </c>
      <c r="B23" s="35" t="s">
        <v>9</v>
      </c>
      <c r="C23" s="46">
        <v>0</v>
      </c>
      <c r="D23" s="41">
        <v>5801.0743940000002</v>
      </c>
      <c r="E23" s="41">
        <v>5801.0743940000002</v>
      </c>
      <c r="F23" s="36">
        <f t="shared" si="5"/>
        <v>5801.0743940000002</v>
      </c>
      <c r="G23" s="71"/>
      <c r="H23" s="37">
        <f t="shared" si="2"/>
        <v>0</v>
      </c>
      <c r="I23" s="38"/>
    </row>
    <row r="24" spans="1:9" ht="18" customHeight="1" x14ac:dyDescent="0.3">
      <c r="A24" s="42" t="s">
        <v>11</v>
      </c>
      <c r="B24" s="35" t="s">
        <v>223</v>
      </c>
      <c r="C24" s="46">
        <v>0</v>
      </c>
      <c r="D24" s="41">
        <v>157140.61157499999</v>
      </c>
      <c r="E24" s="41">
        <v>157140.61157499999</v>
      </c>
      <c r="F24" s="36">
        <f t="shared" si="5"/>
        <v>157140.61157499999</v>
      </c>
      <c r="G24" s="71"/>
      <c r="H24" s="37">
        <f t="shared" si="2"/>
        <v>0</v>
      </c>
      <c r="I24" s="38"/>
    </row>
    <row r="25" spans="1:9" ht="18" customHeight="1" x14ac:dyDescent="0.3">
      <c r="A25" s="42" t="s">
        <v>18</v>
      </c>
      <c r="B25" s="35" t="s">
        <v>13</v>
      </c>
      <c r="C25" s="46"/>
      <c r="D25" s="36">
        <v>0</v>
      </c>
      <c r="E25" s="36">
        <v>0</v>
      </c>
      <c r="F25" s="36">
        <f t="shared" si="5"/>
        <v>0</v>
      </c>
      <c r="G25" s="71"/>
      <c r="H25" s="37">
        <f t="shared" si="2"/>
        <v>0</v>
      </c>
      <c r="I25" s="38"/>
    </row>
    <row r="26" spans="1:9" s="23" customFormat="1" ht="18" customHeight="1" x14ac:dyDescent="0.3">
      <c r="A26" s="48" t="s">
        <v>2</v>
      </c>
      <c r="B26" s="40" t="s">
        <v>210</v>
      </c>
      <c r="C26" s="143">
        <f>C27+C28+C30+C31+C32+C33</f>
        <v>764162</v>
      </c>
      <c r="D26" s="143">
        <f>D27+D28+D30+D31+D32+D33</f>
        <v>948437.62</v>
      </c>
      <c r="E26" s="143">
        <f>SUM(E27:E33)</f>
        <v>952236.10596900003</v>
      </c>
      <c r="F26" s="143">
        <f>SUM(F27:F33)</f>
        <v>184275.62</v>
      </c>
      <c r="G26" s="72">
        <f t="shared" si="4"/>
        <v>124.11473221646719</v>
      </c>
      <c r="H26" s="39">
        <f t="shared" si="2"/>
        <v>3798.4859690000303</v>
      </c>
      <c r="I26" s="165">
        <f t="shared" si="1"/>
        <v>100.40049929366994</v>
      </c>
    </row>
    <row r="27" spans="1:9" ht="18" customHeight="1" x14ac:dyDescent="0.3">
      <c r="A27" s="34">
        <v>1</v>
      </c>
      <c r="B27" s="52" t="s">
        <v>90</v>
      </c>
      <c r="C27" s="176">
        <v>65204</v>
      </c>
      <c r="D27" s="36">
        <v>92454.62</v>
      </c>
      <c r="E27" s="36">
        <v>92454.62</v>
      </c>
      <c r="F27" s="36">
        <f>D27-C27</f>
        <v>27250.619999999995</v>
      </c>
      <c r="G27" s="71">
        <f t="shared" si="4"/>
        <v>141.79286546837616</v>
      </c>
      <c r="H27" s="37">
        <f t="shared" si="2"/>
        <v>0</v>
      </c>
      <c r="I27" s="38">
        <f t="shared" si="1"/>
        <v>100</v>
      </c>
    </row>
    <row r="28" spans="1:9" s="24" customFormat="1" ht="18" customHeight="1" x14ac:dyDescent="0.3">
      <c r="A28" s="34">
        <v>2</v>
      </c>
      <c r="B28" s="35" t="s">
        <v>91</v>
      </c>
      <c r="C28" s="46">
        <v>540695</v>
      </c>
      <c r="D28" s="51">
        <v>840531</v>
      </c>
      <c r="E28" s="41">
        <f>E16-E27-E30-E31-E33-E32</f>
        <v>843349.15796900005</v>
      </c>
      <c r="F28" s="36">
        <f t="shared" ref="F28:F33" si="6">D28-C28</f>
        <v>299836</v>
      </c>
      <c r="G28" s="71">
        <f t="shared" si="4"/>
        <v>155.45381407262875</v>
      </c>
      <c r="H28" s="37">
        <f t="shared" si="2"/>
        <v>2818.1579690000508</v>
      </c>
      <c r="I28" s="38">
        <f t="shared" si="1"/>
        <v>100.33528304952466</v>
      </c>
    </row>
    <row r="29" spans="1:9" s="24" customFormat="1" ht="18" customHeight="1" x14ac:dyDescent="0.3">
      <c r="A29" s="34"/>
      <c r="B29" s="43" t="s">
        <v>10</v>
      </c>
      <c r="C29" s="175"/>
      <c r="D29" s="53"/>
      <c r="E29" s="53"/>
      <c r="F29" s="36">
        <f t="shared" si="6"/>
        <v>0</v>
      </c>
      <c r="G29" s="71"/>
      <c r="H29" s="37">
        <f t="shared" si="2"/>
        <v>0</v>
      </c>
      <c r="I29" s="38"/>
    </row>
    <row r="30" spans="1:9" ht="18" customHeight="1" x14ac:dyDescent="0.3">
      <c r="A30" s="34">
        <v>3</v>
      </c>
      <c r="B30" s="35" t="s">
        <v>211</v>
      </c>
      <c r="C30" s="46">
        <v>13883</v>
      </c>
      <c r="D30" s="51">
        <v>5776</v>
      </c>
      <c r="E30" s="54">
        <v>6756.3280000000004</v>
      </c>
      <c r="F30" s="194">
        <f t="shared" si="6"/>
        <v>-8107</v>
      </c>
      <c r="G30" s="71">
        <f t="shared" si="4"/>
        <v>41.604840452351802</v>
      </c>
      <c r="H30" s="37">
        <f>E30-D30</f>
        <v>980.32800000000043</v>
      </c>
      <c r="I30" s="38">
        <f t="shared" si="1"/>
        <v>116.97243767313019</v>
      </c>
    </row>
    <row r="31" spans="1:9" ht="18" customHeight="1" x14ac:dyDescent="0.3">
      <c r="A31" s="44" t="s">
        <v>11</v>
      </c>
      <c r="B31" s="45" t="s">
        <v>17</v>
      </c>
      <c r="C31" s="177">
        <v>5876</v>
      </c>
      <c r="D31" s="46">
        <f>3621+2255</f>
        <v>5876</v>
      </c>
      <c r="E31" s="46">
        <f>D31</f>
        <v>5876</v>
      </c>
      <c r="F31" s="36">
        <f t="shared" si="6"/>
        <v>0</v>
      </c>
      <c r="G31" s="71">
        <f t="shared" si="4"/>
        <v>100</v>
      </c>
      <c r="H31" s="37">
        <f t="shared" si="2"/>
        <v>0</v>
      </c>
      <c r="I31" s="38">
        <f t="shared" si="1"/>
        <v>100</v>
      </c>
    </row>
    <row r="32" spans="1:9" ht="18" customHeight="1" x14ac:dyDescent="0.3">
      <c r="A32" s="44" t="s">
        <v>18</v>
      </c>
      <c r="B32" s="45" t="s">
        <v>228</v>
      </c>
      <c r="C32" s="177">
        <v>134704</v>
      </c>
      <c r="D32" s="46">
        <v>0</v>
      </c>
      <c r="E32" s="46"/>
      <c r="F32" s="194">
        <f t="shared" si="6"/>
        <v>-134704</v>
      </c>
      <c r="G32" s="71">
        <f t="shared" si="4"/>
        <v>0</v>
      </c>
      <c r="H32" s="37">
        <f t="shared" si="2"/>
        <v>0</v>
      </c>
      <c r="I32" s="38"/>
    </row>
    <row r="33" spans="1:9" ht="18" customHeight="1" x14ac:dyDescent="0.3">
      <c r="A33" s="44" t="s">
        <v>19</v>
      </c>
      <c r="B33" s="45" t="s">
        <v>15</v>
      </c>
      <c r="C33" s="177">
        <v>3800</v>
      </c>
      <c r="D33" s="46">
        <v>3800</v>
      </c>
      <c r="E33" s="46">
        <f>D33</f>
        <v>3800</v>
      </c>
      <c r="F33" s="36">
        <f t="shared" si="6"/>
        <v>0</v>
      </c>
      <c r="G33" s="71">
        <f t="shared" si="4"/>
        <v>100</v>
      </c>
      <c r="H33" s="37">
        <f t="shared" si="2"/>
        <v>0</v>
      </c>
      <c r="I33" s="38">
        <f t="shared" si="1"/>
        <v>100</v>
      </c>
    </row>
    <row r="34" spans="1:9" ht="18" customHeight="1" x14ac:dyDescent="0.3">
      <c r="E34" s="28"/>
      <c r="F34" s="28"/>
      <c r="G34" s="28"/>
      <c r="H34" s="29"/>
    </row>
    <row r="35" spans="1:9" ht="18" customHeight="1" x14ac:dyDescent="0.3">
      <c r="E35" s="55"/>
      <c r="F35" s="55"/>
      <c r="G35" s="55"/>
      <c r="H35" s="29"/>
    </row>
    <row r="36" spans="1:9" ht="18" customHeight="1" x14ac:dyDescent="0.3">
      <c r="E36" s="55"/>
      <c r="F36" s="55"/>
      <c r="G36" s="55"/>
      <c r="H36" s="29"/>
    </row>
    <row r="37" spans="1:9" ht="18" customHeight="1" x14ac:dyDescent="0.3">
      <c r="E37" s="56"/>
      <c r="F37" s="56"/>
      <c r="G37" s="56"/>
      <c r="H37" s="29"/>
    </row>
    <row r="38" spans="1:9" ht="18" customHeight="1" x14ac:dyDescent="0.3">
      <c r="E38" s="56"/>
      <c r="F38" s="56"/>
      <c r="G38" s="56"/>
      <c r="H38" s="29"/>
    </row>
    <row r="39" spans="1:9" ht="18" customHeight="1" x14ac:dyDescent="0.3">
      <c r="H39" s="29"/>
    </row>
    <row r="40" spans="1:9" ht="18" customHeight="1" x14ac:dyDescent="0.3">
      <c r="H40" s="29"/>
    </row>
    <row r="41" spans="1:9" ht="18" customHeight="1" x14ac:dyDescent="0.3">
      <c r="H41" s="29"/>
    </row>
    <row r="42" spans="1:9" ht="18" customHeight="1" x14ac:dyDescent="0.3">
      <c r="H42" s="29"/>
    </row>
    <row r="43" spans="1:9" ht="18" customHeight="1" x14ac:dyDescent="0.3">
      <c r="H43" s="29"/>
    </row>
    <row r="44" spans="1:9" ht="18" customHeight="1" x14ac:dyDescent="0.3">
      <c r="H44" s="29"/>
    </row>
    <row r="45" spans="1:9" ht="18" customHeight="1" x14ac:dyDescent="0.3">
      <c r="H45" s="29"/>
    </row>
    <row r="46" spans="1:9" ht="18" customHeight="1" x14ac:dyDescent="0.3">
      <c r="H46" s="29"/>
    </row>
    <row r="47" spans="1:9" ht="18" customHeight="1" x14ac:dyDescent="0.3">
      <c r="D47" s="22"/>
      <c r="E47" s="22"/>
      <c r="F47" s="22"/>
      <c r="G47" s="22"/>
      <c r="H47" s="29"/>
      <c r="I47" s="22"/>
    </row>
    <row r="48" spans="1:9" ht="18" customHeight="1" x14ac:dyDescent="0.3">
      <c r="D48" s="22"/>
      <c r="E48" s="22"/>
      <c r="F48" s="22"/>
      <c r="G48" s="22"/>
      <c r="H48" s="29"/>
      <c r="I48" s="22"/>
    </row>
    <row r="49" spans="8:8" s="22" customFormat="1" ht="18" customHeight="1" x14ac:dyDescent="0.3">
      <c r="H49" s="29"/>
    </row>
    <row r="50" spans="8:8" s="22" customFormat="1" ht="18" customHeight="1" x14ac:dyDescent="0.3">
      <c r="H50" s="29"/>
    </row>
    <row r="51" spans="8:8" s="22" customFormat="1" ht="18" customHeight="1" x14ac:dyDescent="0.3">
      <c r="H51" s="29"/>
    </row>
    <row r="52" spans="8:8" s="22" customFormat="1" ht="18" customHeight="1" x14ac:dyDescent="0.3">
      <c r="H52" s="29"/>
    </row>
    <row r="53" spans="8:8" s="22" customFormat="1" ht="18" customHeight="1" x14ac:dyDescent="0.3">
      <c r="H53" s="29"/>
    </row>
    <row r="54" spans="8:8" s="22" customFormat="1" ht="18" customHeight="1" x14ac:dyDescent="0.3">
      <c r="H54" s="29"/>
    </row>
    <row r="55" spans="8:8" s="22" customFormat="1" ht="18" customHeight="1" x14ac:dyDescent="0.3">
      <c r="H55" s="29"/>
    </row>
    <row r="56" spans="8:8" s="22" customFormat="1" ht="18" customHeight="1" x14ac:dyDescent="0.3">
      <c r="H56" s="29"/>
    </row>
    <row r="57" spans="8:8" s="22" customFormat="1" ht="18" customHeight="1" x14ac:dyDescent="0.3">
      <c r="H57" s="29"/>
    </row>
    <row r="58" spans="8:8" s="22" customFormat="1" ht="18" customHeight="1" x14ac:dyDescent="0.3">
      <c r="H58" s="29"/>
    </row>
    <row r="59" spans="8:8" s="22" customFormat="1" ht="18" customHeight="1" x14ac:dyDescent="0.3">
      <c r="H59" s="29"/>
    </row>
    <row r="60" spans="8:8" s="22" customFormat="1" ht="18" customHeight="1" x14ac:dyDescent="0.3">
      <c r="H60" s="29"/>
    </row>
    <row r="61" spans="8:8" s="22" customFormat="1" ht="18" customHeight="1" x14ac:dyDescent="0.3">
      <c r="H61" s="29"/>
    </row>
    <row r="62" spans="8:8" s="22" customFormat="1" ht="18" customHeight="1" x14ac:dyDescent="0.3">
      <c r="H62" s="29"/>
    </row>
    <row r="63" spans="8:8" s="22" customFormat="1" ht="18" customHeight="1" x14ac:dyDescent="0.3">
      <c r="H63" s="29"/>
    </row>
    <row r="64" spans="8:8" s="22" customFormat="1" ht="18" customHeight="1" x14ac:dyDescent="0.3">
      <c r="H64" s="29"/>
    </row>
    <row r="65" spans="8:8" s="22" customFormat="1" ht="18" customHeight="1" x14ac:dyDescent="0.3">
      <c r="H65" s="29"/>
    </row>
    <row r="66" spans="8:8" s="22" customFormat="1" ht="18" customHeight="1" x14ac:dyDescent="0.3">
      <c r="H66" s="29"/>
    </row>
    <row r="67" spans="8:8" s="22" customFormat="1" ht="18" customHeight="1" x14ac:dyDescent="0.3">
      <c r="H67" s="29"/>
    </row>
    <row r="68" spans="8:8" s="22" customFormat="1" ht="18" customHeight="1" x14ac:dyDescent="0.3">
      <c r="H68" s="29"/>
    </row>
    <row r="69" spans="8:8" s="22" customFormat="1" ht="18" customHeight="1" x14ac:dyDescent="0.3">
      <c r="H69" s="29"/>
    </row>
    <row r="70" spans="8:8" s="22" customFormat="1" ht="18" customHeight="1" x14ac:dyDescent="0.3">
      <c r="H70" s="29"/>
    </row>
    <row r="71" spans="8:8" s="22" customFormat="1" ht="18" customHeight="1" x14ac:dyDescent="0.3">
      <c r="H71" s="29"/>
    </row>
    <row r="72" spans="8:8" s="22" customFormat="1" ht="18" customHeight="1" x14ac:dyDescent="0.3">
      <c r="H72" s="29"/>
    </row>
    <row r="73" spans="8:8" s="22" customFormat="1" ht="18" customHeight="1" x14ac:dyDescent="0.3">
      <c r="H73" s="29"/>
    </row>
    <row r="74" spans="8:8" s="22" customFormat="1" ht="18" customHeight="1" x14ac:dyDescent="0.3">
      <c r="H74" s="29"/>
    </row>
    <row r="75" spans="8:8" s="22" customFormat="1" ht="18" customHeight="1" x14ac:dyDescent="0.3">
      <c r="H75" s="29"/>
    </row>
    <row r="76" spans="8:8" s="22" customFormat="1" ht="18" customHeight="1" x14ac:dyDescent="0.3">
      <c r="H76" s="29"/>
    </row>
    <row r="77" spans="8:8" s="22" customFormat="1" ht="18" customHeight="1" x14ac:dyDescent="0.3">
      <c r="H77" s="31"/>
    </row>
    <row r="78" spans="8:8" s="22" customFormat="1" ht="18" customHeight="1" x14ac:dyDescent="0.3">
      <c r="H78" s="31"/>
    </row>
    <row r="79" spans="8:8" s="22" customFormat="1" ht="18" customHeight="1" x14ac:dyDescent="0.3"/>
    <row r="80" spans="8:8" s="22" customFormat="1" ht="18" customHeight="1" x14ac:dyDescent="0.3"/>
    <row r="81" s="22" customFormat="1" ht="18" customHeight="1" x14ac:dyDescent="0.3"/>
    <row r="82" s="22" customFormat="1" ht="18" customHeight="1" x14ac:dyDescent="0.3"/>
    <row r="83" s="22" customFormat="1" ht="18" customHeight="1" x14ac:dyDescent="0.3"/>
    <row r="84" s="22" customFormat="1" ht="18" customHeight="1" x14ac:dyDescent="0.3"/>
    <row r="85" s="22" customFormat="1" ht="18" customHeight="1" x14ac:dyDescent="0.3"/>
    <row r="86" s="22" customFormat="1" ht="18" customHeight="1" x14ac:dyDescent="0.3"/>
    <row r="87" s="22" customFormat="1" ht="18" customHeight="1" x14ac:dyDescent="0.3"/>
    <row r="88" s="22" customFormat="1" ht="18" customHeight="1" x14ac:dyDescent="0.3"/>
    <row r="89" s="22" customFormat="1" ht="18" customHeight="1" x14ac:dyDescent="0.3"/>
    <row r="90" s="22" customFormat="1" ht="18" customHeight="1" x14ac:dyDescent="0.3"/>
    <row r="91" s="22" customFormat="1" ht="18" customHeight="1" x14ac:dyDescent="0.3"/>
    <row r="92" s="22" customFormat="1" ht="18" customHeight="1" x14ac:dyDescent="0.3"/>
  </sheetData>
  <mergeCells count="12">
    <mergeCell ref="H4:I4"/>
    <mergeCell ref="A2:I2"/>
    <mergeCell ref="A1:B1"/>
    <mergeCell ref="D5:D6"/>
    <mergeCell ref="B5:B6"/>
    <mergeCell ref="A5:A6"/>
    <mergeCell ref="H5:I5"/>
    <mergeCell ref="E5:E6"/>
    <mergeCell ref="H1:I1"/>
    <mergeCell ref="A3:I3"/>
    <mergeCell ref="F5:G5"/>
    <mergeCell ref="C5:C6"/>
  </mergeCells>
  <phoneticPr fontId="3" type="noConversion"/>
  <printOptions horizontalCentered="1"/>
  <pageMargins left="0.24" right="0.196850393700787" top="0.22" bottom="0.39" header="0.2" footer="0.2"/>
  <pageSetup paperSize="9" scale="85" orientation="landscape" horizontalDpi="4294967292" r:id="rId1"/>
  <headerFooter alignWithMargins="0">
    <oddFooter>&amp;F&amp;RPage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workbookViewId="0">
      <selection activeCell="B29" sqref="B29"/>
    </sheetView>
  </sheetViews>
  <sheetFormatPr defaultColWidth="9.140625" defaultRowHeight="18.75" x14ac:dyDescent="0.3"/>
  <cols>
    <col min="1" max="1" width="8.140625" style="22" customWidth="1"/>
    <col min="2" max="2" width="48.140625" style="22" customWidth="1"/>
    <col min="3" max="3" width="15.28515625" style="22" customWidth="1"/>
    <col min="4" max="4" width="15.5703125" style="30" customWidth="1"/>
    <col min="5" max="5" width="14.7109375" style="22" customWidth="1"/>
    <col min="6" max="7" width="14.85546875" style="22" customWidth="1"/>
    <col min="8" max="8" width="14.85546875" style="30" customWidth="1"/>
    <col min="9" max="9" width="14.85546875" style="21" customWidth="1"/>
    <col min="10" max="16384" width="9.140625" style="22"/>
  </cols>
  <sheetData>
    <row r="1" spans="1:9" x14ac:dyDescent="0.3">
      <c r="E1" s="60"/>
      <c r="F1" s="60"/>
      <c r="G1" s="60"/>
      <c r="H1" s="214" t="s">
        <v>287</v>
      </c>
      <c r="I1" s="214"/>
    </row>
    <row r="2" spans="1:9" ht="18.75" customHeight="1" x14ac:dyDescent="0.3">
      <c r="A2" s="208" t="s">
        <v>256</v>
      </c>
      <c r="B2" s="208"/>
      <c r="C2" s="208"/>
      <c r="D2" s="208"/>
      <c r="E2" s="208"/>
      <c r="F2" s="208"/>
      <c r="G2" s="208"/>
      <c r="H2" s="208"/>
      <c r="I2" s="208"/>
    </row>
    <row r="3" spans="1:9" x14ac:dyDescent="0.3">
      <c r="A3" s="215" t="str">
        <f>'bieu 12 (PL05)'!A3:I3</f>
        <v>(Kèm theo Tờ trình số:         /TTr-UBND ngày      tháng 8 năm 2024 của UBND huyện Phụng Hiệp)</v>
      </c>
      <c r="B3" s="215"/>
      <c r="C3" s="215"/>
      <c r="D3" s="215"/>
      <c r="E3" s="215"/>
      <c r="F3" s="215"/>
      <c r="G3" s="215"/>
      <c r="H3" s="215"/>
      <c r="I3" s="215"/>
    </row>
    <row r="4" spans="1:9" ht="18.75" customHeight="1" x14ac:dyDescent="0.3">
      <c r="D4" s="217"/>
      <c r="E4" s="217"/>
      <c r="F4" s="170"/>
      <c r="G4" s="170"/>
      <c r="H4" s="216" t="s">
        <v>25</v>
      </c>
      <c r="I4" s="216"/>
    </row>
    <row r="5" spans="1:9" s="23" customFormat="1" ht="56.25" customHeight="1" x14ac:dyDescent="0.3">
      <c r="A5" s="212" t="s">
        <v>3</v>
      </c>
      <c r="B5" s="212" t="s">
        <v>21</v>
      </c>
      <c r="C5" s="210" t="s">
        <v>270</v>
      </c>
      <c r="D5" s="210" t="s">
        <v>272</v>
      </c>
      <c r="E5" s="210" t="s">
        <v>271</v>
      </c>
      <c r="F5" s="210" t="s">
        <v>277</v>
      </c>
      <c r="G5" s="210"/>
      <c r="H5" s="213" t="s">
        <v>278</v>
      </c>
      <c r="I5" s="212"/>
    </row>
    <row r="6" spans="1:9" s="47" customFormat="1" ht="36.75" customHeight="1" x14ac:dyDescent="0.3">
      <c r="A6" s="212"/>
      <c r="B6" s="212"/>
      <c r="C6" s="211"/>
      <c r="D6" s="211"/>
      <c r="E6" s="211"/>
      <c r="F6" s="1" t="s">
        <v>20</v>
      </c>
      <c r="G6" s="169" t="s">
        <v>24</v>
      </c>
      <c r="H6" s="1" t="s">
        <v>20</v>
      </c>
      <c r="I6" s="169" t="s">
        <v>24</v>
      </c>
    </row>
    <row r="7" spans="1:9" s="119" customFormat="1" ht="19.5" x14ac:dyDescent="0.35">
      <c r="A7" s="109" t="s">
        <v>0</v>
      </c>
      <c r="B7" s="109" t="s">
        <v>1</v>
      </c>
      <c r="C7" s="110" t="s">
        <v>22</v>
      </c>
      <c r="D7" s="110" t="s">
        <v>23</v>
      </c>
      <c r="E7" s="110" t="s">
        <v>118</v>
      </c>
      <c r="F7" s="110" t="s">
        <v>275</v>
      </c>
      <c r="G7" s="110" t="s">
        <v>276</v>
      </c>
      <c r="H7" s="110" t="s">
        <v>273</v>
      </c>
      <c r="I7" s="110" t="s">
        <v>274</v>
      </c>
    </row>
    <row r="8" spans="1:9" ht="16.5" customHeight="1" x14ac:dyDescent="0.3">
      <c r="A8" s="67" t="s">
        <v>0</v>
      </c>
      <c r="B8" s="68" t="s">
        <v>197</v>
      </c>
      <c r="C8" s="179"/>
      <c r="D8" s="69"/>
      <c r="E8" s="70"/>
      <c r="F8" s="70"/>
      <c r="G8" s="70"/>
      <c r="H8" s="36"/>
      <c r="I8" s="71"/>
    </row>
    <row r="9" spans="1:9" s="23" customFormat="1" ht="24.75" customHeight="1" x14ac:dyDescent="0.3">
      <c r="A9" s="48" t="s">
        <v>30</v>
      </c>
      <c r="B9" s="40" t="s">
        <v>198</v>
      </c>
      <c r="C9" s="32">
        <f>C10+C13+C16+C17+C19+C18</f>
        <v>656891</v>
      </c>
      <c r="D9" s="32">
        <f>D10+D13+D16+D17+D19+D18</f>
        <v>801496.83517899993</v>
      </c>
      <c r="E9" s="32">
        <f>E10+E13+E16+E17+E19+E18</f>
        <v>800284.7781789999</v>
      </c>
      <c r="F9" s="32">
        <f>F10+F13+F16+F17+F19+F18</f>
        <v>144605.83517900002</v>
      </c>
      <c r="G9" s="72">
        <f>D9/C9*100</f>
        <v>122.01367276747588</v>
      </c>
      <c r="H9" s="191">
        <f>H10+H13+H16+H17+H19+H18</f>
        <v>-1212.0570000000007</v>
      </c>
      <c r="I9" s="72">
        <f>E9/D9*100</f>
        <v>99.848775822086765</v>
      </c>
    </row>
    <row r="10" spans="1:9" s="24" customFormat="1" ht="20.100000000000001" customHeight="1" x14ac:dyDescent="0.3">
      <c r="A10" s="34">
        <v>1</v>
      </c>
      <c r="B10" s="35" t="s">
        <v>204</v>
      </c>
      <c r="C10" s="36">
        <f>C11+C12</f>
        <v>90190</v>
      </c>
      <c r="D10" s="36">
        <f>D11+D12</f>
        <v>90190</v>
      </c>
      <c r="E10" s="36">
        <f>E11+E12</f>
        <v>90190</v>
      </c>
      <c r="F10" s="36">
        <f>F11+F12</f>
        <v>0</v>
      </c>
      <c r="G10" s="71">
        <f t="shared" ref="G10:G35" si="0">D10/C10*100</f>
        <v>100</v>
      </c>
      <c r="H10" s="36">
        <f>H11+H12</f>
        <v>0</v>
      </c>
      <c r="I10" s="71">
        <f t="shared" ref="I10:I35" si="1">E10/D10*100</f>
        <v>100</v>
      </c>
    </row>
    <row r="11" spans="1:9" s="24" customFormat="1" ht="20.100000000000001" customHeight="1" x14ac:dyDescent="0.3">
      <c r="A11" s="50"/>
      <c r="B11" s="43" t="s">
        <v>205</v>
      </c>
      <c r="C11" s="175">
        <v>90190</v>
      </c>
      <c r="D11" s="57">
        <v>90190</v>
      </c>
      <c r="E11" s="53">
        <f>D11</f>
        <v>90190</v>
      </c>
      <c r="F11" s="53">
        <f>D11-C11</f>
        <v>0</v>
      </c>
      <c r="G11" s="71">
        <f t="shared" si="0"/>
        <v>100</v>
      </c>
      <c r="H11" s="53">
        <f>E11-D11</f>
        <v>0</v>
      </c>
      <c r="I11" s="73">
        <f t="shared" si="1"/>
        <v>100</v>
      </c>
    </row>
    <row r="12" spans="1:9" s="24" customFormat="1" ht="36" customHeight="1" x14ac:dyDescent="0.3">
      <c r="A12" s="50"/>
      <c r="B12" s="43" t="s">
        <v>206</v>
      </c>
      <c r="C12" s="175"/>
      <c r="D12" s="53"/>
      <c r="E12" s="53">
        <f>D12</f>
        <v>0</v>
      </c>
      <c r="F12" s="53"/>
      <c r="G12" s="72"/>
      <c r="H12" s="53">
        <f t="shared" ref="H12:H34" si="2">E12-D12</f>
        <v>0</v>
      </c>
      <c r="I12" s="73"/>
    </row>
    <row r="13" spans="1:9" s="24" customFormat="1" ht="20.100000000000001" customHeight="1" x14ac:dyDescent="0.3">
      <c r="A13" s="34">
        <v>2</v>
      </c>
      <c r="B13" s="35" t="s">
        <v>207</v>
      </c>
      <c r="C13" s="74">
        <f>C14+C15</f>
        <v>566701</v>
      </c>
      <c r="D13" s="74">
        <f>D14+D15</f>
        <v>561077</v>
      </c>
      <c r="E13" s="74">
        <f>E14+E15</f>
        <v>559864.94299999997</v>
      </c>
      <c r="F13" s="195">
        <f>F14+F15</f>
        <v>-5624</v>
      </c>
      <c r="G13" s="71">
        <f t="shared" si="0"/>
        <v>99.007589540163153</v>
      </c>
      <c r="H13" s="195">
        <f>H14+H15</f>
        <v>-1212.0570000000007</v>
      </c>
      <c r="I13" s="71">
        <f>E13/D13*100</f>
        <v>99.783976709079141</v>
      </c>
    </row>
    <row r="14" spans="1:9" s="24" customFormat="1" ht="20.100000000000001" customHeight="1" x14ac:dyDescent="0.3">
      <c r="A14" s="34"/>
      <c r="B14" s="35" t="s">
        <v>208</v>
      </c>
      <c r="C14" s="46">
        <v>501208</v>
      </c>
      <c r="D14" s="51">
        <f>'bieu 12 (PL05)'!D21-D23</f>
        <v>501208</v>
      </c>
      <c r="E14" s="51">
        <f>'bieu 12 (PL05)'!E21-E23</f>
        <v>501208</v>
      </c>
      <c r="F14" s="51">
        <f>D14-C14</f>
        <v>0</v>
      </c>
      <c r="G14" s="71">
        <f t="shared" si="0"/>
        <v>100</v>
      </c>
      <c r="H14" s="36">
        <f>E14-D14</f>
        <v>0</v>
      </c>
      <c r="I14" s="71">
        <f t="shared" si="1"/>
        <v>100</v>
      </c>
    </row>
    <row r="15" spans="1:9" s="24" customFormat="1" ht="20.100000000000001" customHeight="1" x14ac:dyDescent="0.3">
      <c r="A15" s="34"/>
      <c r="B15" s="35" t="s">
        <v>209</v>
      </c>
      <c r="C15" s="46">
        <v>65493</v>
      </c>
      <c r="D15" s="51">
        <v>59869</v>
      </c>
      <c r="E15" s="75">
        <f>'bieu 12 (PL05)'!E22-E24</f>
        <v>58656.942999999999</v>
      </c>
      <c r="F15" s="81">
        <f t="shared" ref="F15:F19" si="3">D15-C15</f>
        <v>-5624</v>
      </c>
      <c r="G15" s="71">
        <f t="shared" si="0"/>
        <v>91.412822744415436</v>
      </c>
      <c r="H15" s="194">
        <f>E15-D15</f>
        <v>-1212.0570000000007</v>
      </c>
      <c r="I15" s="71">
        <f t="shared" si="1"/>
        <v>97.975484808498564</v>
      </c>
    </row>
    <row r="16" spans="1:9" s="24" customFormat="1" ht="20.25" hidden="1" customHeight="1" x14ac:dyDescent="0.3">
      <c r="A16" s="34">
        <v>4</v>
      </c>
      <c r="B16" s="35" t="s">
        <v>116</v>
      </c>
      <c r="C16" s="46"/>
      <c r="D16" s="51"/>
      <c r="E16" s="75"/>
      <c r="F16" s="51">
        <f t="shared" si="3"/>
        <v>0</v>
      </c>
      <c r="G16" s="72" t="e">
        <f t="shared" si="0"/>
        <v>#DIV/0!</v>
      </c>
      <c r="H16" s="36">
        <f t="shared" si="2"/>
        <v>0</v>
      </c>
      <c r="I16" s="72"/>
    </row>
    <row r="17" spans="1:9" s="24" customFormat="1" ht="20.100000000000001" customHeight="1" x14ac:dyDescent="0.3">
      <c r="A17" s="42" t="s">
        <v>118</v>
      </c>
      <c r="B17" s="35" t="s">
        <v>9</v>
      </c>
      <c r="C17" s="46">
        <v>0</v>
      </c>
      <c r="D17" s="75">
        <v>3288.2728350000002</v>
      </c>
      <c r="E17" s="75">
        <v>3288.2728350000002</v>
      </c>
      <c r="F17" s="51">
        <f t="shared" si="3"/>
        <v>3288.2728350000002</v>
      </c>
      <c r="G17" s="72"/>
      <c r="H17" s="36">
        <f t="shared" si="2"/>
        <v>0</v>
      </c>
      <c r="I17" s="72"/>
    </row>
    <row r="18" spans="1:9" s="24" customFormat="1" ht="20.100000000000001" customHeight="1" x14ac:dyDescent="0.3">
      <c r="A18" s="42" t="s">
        <v>11</v>
      </c>
      <c r="B18" s="35" t="s">
        <v>223</v>
      </c>
      <c r="C18" s="46">
        <v>0</v>
      </c>
      <c r="D18" s="75">
        <v>146941.56234400001</v>
      </c>
      <c r="E18" s="75">
        <v>146941.56234400001</v>
      </c>
      <c r="F18" s="51">
        <f t="shared" si="3"/>
        <v>146941.56234400001</v>
      </c>
      <c r="G18" s="72"/>
      <c r="H18" s="36">
        <f t="shared" si="2"/>
        <v>0</v>
      </c>
      <c r="I18" s="72"/>
    </row>
    <row r="19" spans="1:9" s="24" customFormat="1" ht="20.100000000000001" customHeight="1" x14ac:dyDescent="0.3">
      <c r="A19" s="42" t="s">
        <v>18</v>
      </c>
      <c r="B19" s="35" t="s">
        <v>13</v>
      </c>
      <c r="C19" s="46"/>
      <c r="D19" s="51">
        <v>0</v>
      </c>
      <c r="E19" s="51"/>
      <c r="F19" s="51">
        <f t="shared" si="3"/>
        <v>0</v>
      </c>
      <c r="G19" s="72"/>
      <c r="H19" s="36">
        <f t="shared" si="2"/>
        <v>0</v>
      </c>
      <c r="I19" s="72"/>
    </row>
    <row r="20" spans="1:9" s="23" customFormat="1" ht="20.100000000000001" customHeight="1" x14ac:dyDescent="0.3">
      <c r="A20" s="48" t="s">
        <v>75</v>
      </c>
      <c r="B20" s="40" t="s">
        <v>212</v>
      </c>
      <c r="C20" s="32">
        <f>C21+C22</f>
        <v>656891</v>
      </c>
      <c r="D20" s="32">
        <f>D21+D22</f>
        <v>801496.83517899993</v>
      </c>
      <c r="E20" s="32">
        <f>E21+E22</f>
        <v>800284.7781789999</v>
      </c>
      <c r="F20" s="32">
        <f>F21+F22</f>
        <v>144605.83517899993</v>
      </c>
      <c r="G20" s="72">
        <f t="shared" si="0"/>
        <v>122.01367276747588</v>
      </c>
      <c r="H20" s="191">
        <f>H21+H22</f>
        <v>-1212.0569999999861</v>
      </c>
      <c r="I20" s="72">
        <f t="shared" si="1"/>
        <v>99.848775822086765</v>
      </c>
    </row>
    <row r="21" spans="1:9" x14ac:dyDescent="0.3">
      <c r="A21" s="34">
        <v>1</v>
      </c>
      <c r="B21" s="52" t="s">
        <v>293</v>
      </c>
      <c r="C21" s="176">
        <v>570040</v>
      </c>
      <c r="D21" s="76">
        <f>D9-D22</f>
        <v>687687.83517899993</v>
      </c>
      <c r="E21" s="75">
        <f>E9-E22</f>
        <v>681465.30117899994</v>
      </c>
      <c r="F21" s="75">
        <f>D21-C21</f>
        <v>117647.83517899993</v>
      </c>
      <c r="G21" s="71">
        <f t="shared" si="0"/>
        <v>120.63852276664795</v>
      </c>
      <c r="H21" s="194">
        <f>E21-D21</f>
        <v>-6222.5339999999851</v>
      </c>
      <c r="I21" s="71">
        <f t="shared" si="1"/>
        <v>99.09515136349907</v>
      </c>
    </row>
    <row r="22" spans="1:9" ht="21" customHeight="1" x14ac:dyDescent="0.3">
      <c r="A22" s="34">
        <v>2</v>
      </c>
      <c r="B22" s="52" t="s">
        <v>294</v>
      </c>
      <c r="C22" s="46">
        <f>C23+C24</f>
        <v>86851</v>
      </c>
      <c r="D22" s="46">
        <f>D23+D24</f>
        <v>113809</v>
      </c>
      <c r="E22" s="46">
        <f>E23+E24</f>
        <v>118819.477</v>
      </c>
      <c r="F22" s="46">
        <f>F23+F24</f>
        <v>26958</v>
      </c>
      <c r="G22" s="71">
        <f t="shared" si="0"/>
        <v>131.03936627096982</v>
      </c>
      <c r="H22" s="36">
        <f t="shared" si="2"/>
        <v>5010.476999999999</v>
      </c>
      <c r="I22" s="71">
        <f t="shared" si="1"/>
        <v>104.40253143424509</v>
      </c>
    </row>
    <row r="23" spans="1:9" s="24" customFormat="1" ht="20.100000000000001" customHeight="1" x14ac:dyDescent="0.3">
      <c r="A23" s="50"/>
      <c r="B23" s="35" t="s">
        <v>208</v>
      </c>
      <c r="C23" s="46">
        <v>82331</v>
      </c>
      <c r="D23" s="51">
        <f>'bieu xa (PL11)'!G8</f>
        <v>82331</v>
      </c>
      <c r="E23" s="51">
        <f>'bieu xa (PL11)'!W8</f>
        <v>82331</v>
      </c>
      <c r="F23" s="51">
        <f>D23-C23</f>
        <v>0</v>
      </c>
      <c r="G23" s="71">
        <f t="shared" si="0"/>
        <v>100</v>
      </c>
      <c r="H23" s="36">
        <f t="shared" si="2"/>
        <v>0</v>
      </c>
      <c r="I23" s="71">
        <f t="shared" si="1"/>
        <v>100</v>
      </c>
    </row>
    <row r="24" spans="1:9" s="24" customFormat="1" ht="20.100000000000001" customHeight="1" x14ac:dyDescent="0.3">
      <c r="A24" s="50"/>
      <c r="B24" s="35" t="s">
        <v>209</v>
      </c>
      <c r="C24" s="46">
        <v>4520</v>
      </c>
      <c r="D24" s="51">
        <v>31478</v>
      </c>
      <c r="E24" s="75">
        <f>'bieu xa (PL11)'!X8</f>
        <v>36488.476999999999</v>
      </c>
      <c r="F24" s="51">
        <f t="shared" ref="F24" si="4">D24-C24</f>
        <v>26958</v>
      </c>
      <c r="G24" s="71">
        <f t="shared" si="0"/>
        <v>696.4159292035398</v>
      </c>
      <c r="H24" s="36">
        <f>E24-D24</f>
        <v>5010.476999999999</v>
      </c>
      <c r="I24" s="72"/>
    </row>
    <row r="25" spans="1:9" ht="19.5" customHeight="1" x14ac:dyDescent="0.3">
      <c r="A25" s="67" t="s">
        <v>1</v>
      </c>
      <c r="B25" s="77" t="s">
        <v>295</v>
      </c>
      <c r="C25" s="78"/>
      <c r="D25" s="78"/>
      <c r="E25" s="75"/>
      <c r="F25" s="51"/>
      <c r="G25" s="72"/>
      <c r="H25" s="36">
        <f t="shared" si="2"/>
        <v>0</v>
      </c>
      <c r="I25" s="72"/>
    </row>
    <row r="26" spans="1:9" s="23" customFormat="1" ht="19.5" customHeight="1" x14ac:dyDescent="0.3">
      <c r="A26" s="48" t="s">
        <v>30</v>
      </c>
      <c r="B26" s="79" t="s">
        <v>213</v>
      </c>
      <c r="C26" s="80">
        <f>C27+C30+C33+C34</f>
        <v>107271</v>
      </c>
      <c r="D26" s="80">
        <f>D27+D30+D33+D34</f>
        <v>146940.85079000003</v>
      </c>
      <c r="E26" s="80">
        <f>E27+E30+E33+E34-1</f>
        <v>151950.76549500003</v>
      </c>
      <c r="F26" s="80">
        <f>F27+F30+F33+F34</f>
        <v>39669.850789999997</v>
      </c>
      <c r="G26" s="72">
        <f t="shared" si="0"/>
        <v>136.98096483672197</v>
      </c>
      <c r="H26" s="32">
        <f>E26-D26</f>
        <v>5009.9147050000029</v>
      </c>
      <c r="I26" s="72">
        <f t="shared" si="1"/>
        <v>103.40947713182898</v>
      </c>
    </row>
    <row r="27" spans="1:9" s="62" customFormat="1" ht="20.100000000000001" customHeight="1" x14ac:dyDescent="0.35">
      <c r="A27" s="34">
        <v>1</v>
      </c>
      <c r="B27" s="35" t="s">
        <v>214</v>
      </c>
      <c r="C27" s="36">
        <f>C28+C29</f>
        <v>20420</v>
      </c>
      <c r="D27" s="36">
        <f>D28+D29</f>
        <v>20420</v>
      </c>
      <c r="E27" s="36">
        <f>E28+E29</f>
        <v>20420</v>
      </c>
      <c r="F27" s="36">
        <f>F28+F29</f>
        <v>0</v>
      </c>
      <c r="G27" s="71">
        <f t="shared" si="0"/>
        <v>100</v>
      </c>
      <c r="H27" s="36">
        <f t="shared" si="2"/>
        <v>0</v>
      </c>
      <c r="I27" s="71">
        <f t="shared" si="1"/>
        <v>100</v>
      </c>
    </row>
    <row r="28" spans="1:9" s="62" customFormat="1" ht="20.100000000000001" customHeight="1" x14ac:dyDescent="0.35">
      <c r="A28" s="34"/>
      <c r="B28" s="43" t="s">
        <v>215</v>
      </c>
      <c r="C28" s="175">
        <v>20420</v>
      </c>
      <c r="D28" s="53">
        <f>'bieu 12 (PL05)'!D18-D11</f>
        <v>20420</v>
      </c>
      <c r="E28" s="53">
        <f>D28</f>
        <v>20420</v>
      </c>
      <c r="F28" s="53">
        <f>D28-C28</f>
        <v>0</v>
      </c>
      <c r="G28" s="71">
        <f t="shared" si="0"/>
        <v>100</v>
      </c>
      <c r="H28" s="36">
        <f t="shared" si="2"/>
        <v>0</v>
      </c>
      <c r="I28" s="71">
        <f t="shared" si="1"/>
        <v>100</v>
      </c>
    </row>
    <row r="29" spans="1:9" s="62" customFormat="1" ht="37.5" customHeight="1" x14ac:dyDescent="0.35">
      <c r="A29" s="34"/>
      <c r="B29" s="43" t="s">
        <v>216</v>
      </c>
      <c r="C29" s="175"/>
      <c r="D29" s="53"/>
      <c r="E29" s="53"/>
      <c r="F29" s="53"/>
      <c r="G29" s="72"/>
      <c r="H29" s="36">
        <f t="shared" si="2"/>
        <v>0</v>
      </c>
      <c r="I29" s="71"/>
    </row>
    <row r="30" spans="1:9" s="62" customFormat="1" ht="20.100000000000001" customHeight="1" x14ac:dyDescent="0.35">
      <c r="A30" s="34">
        <v>2</v>
      </c>
      <c r="B30" s="35" t="s">
        <v>217</v>
      </c>
      <c r="C30" s="36">
        <f>C31+C32</f>
        <v>86851</v>
      </c>
      <c r="D30" s="36">
        <f>D31+D32</f>
        <v>113809</v>
      </c>
      <c r="E30" s="36">
        <f>E31+E32</f>
        <v>118819.477</v>
      </c>
      <c r="F30" s="36">
        <f>F31+F32</f>
        <v>26958</v>
      </c>
      <c r="G30" s="71">
        <f t="shared" si="0"/>
        <v>131.03936627096982</v>
      </c>
      <c r="H30" s="36">
        <f t="shared" si="2"/>
        <v>5010.476999999999</v>
      </c>
      <c r="I30" s="71">
        <f t="shared" si="1"/>
        <v>104.40253143424509</v>
      </c>
    </row>
    <row r="31" spans="1:9" s="62" customFormat="1" ht="20.100000000000001" customHeight="1" x14ac:dyDescent="0.35">
      <c r="A31" s="34"/>
      <c r="B31" s="35" t="s">
        <v>208</v>
      </c>
      <c r="C31" s="46">
        <v>82331</v>
      </c>
      <c r="D31" s="51">
        <f>D23</f>
        <v>82331</v>
      </c>
      <c r="E31" s="51">
        <f>E23</f>
        <v>82331</v>
      </c>
      <c r="F31" s="51">
        <f>D31-C31</f>
        <v>0</v>
      </c>
      <c r="G31" s="71">
        <f t="shared" si="0"/>
        <v>100</v>
      </c>
      <c r="H31" s="36">
        <f t="shared" si="2"/>
        <v>0</v>
      </c>
      <c r="I31" s="71">
        <f t="shared" si="1"/>
        <v>100</v>
      </c>
    </row>
    <row r="32" spans="1:9" s="62" customFormat="1" ht="20.100000000000001" customHeight="1" x14ac:dyDescent="0.35">
      <c r="A32" s="34"/>
      <c r="B32" s="35" t="s">
        <v>209</v>
      </c>
      <c r="C32" s="46">
        <v>4520</v>
      </c>
      <c r="D32" s="51">
        <f>D24</f>
        <v>31478</v>
      </c>
      <c r="E32" s="75">
        <f>E24</f>
        <v>36488.476999999999</v>
      </c>
      <c r="F32" s="51">
        <f t="shared" ref="F32:F34" si="5">D32-C32</f>
        <v>26958</v>
      </c>
      <c r="G32" s="71">
        <f t="shared" si="0"/>
        <v>696.4159292035398</v>
      </c>
      <c r="H32" s="36">
        <f t="shared" si="2"/>
        <v>5010.476999999999</v>
      </c>
      <c r="I32" s="72"/>
    </row>
    <row r="33" spans="1:9" s="25" customFormat="1" ht="20.100000000000001" customHeight="1" x14ac:dyDescent="0.3">
      <c r="A33" s="34">
        <v>3</v>
      </c>
      <c r="B33" s="35" t="s">
        <v>117</v>
      </c>
      <c r="C33" s="46"/>
      <c r="D33" s="75">
        <v>2512.801559</v>
      </c>
      <c r="E33" s="75">
        <f>'bieu xa (PL11)'!T8</f>
        <v>2513.2392639999998</v>
      </c>
      <c r="F33" s="51">
        <f t="shared" si="5"/>
        <v>2512.801559</v>
      </c>
      <c r="G33" s="72"/>
      <c r="H33" s="36">
        <f t="shared" si="2"/>
        <v>0.43770499999982349</v>
      </c>
      <c r="I33" s="72"/>
    </row>
    <row r="34" spans="1:9" s="25" customFormat="1" ht="20.100000000000001" customHeight="1" x14ac:dyDescent="0.3">
      <c r="A34" s="34">
        <v>4</v>
      </c>
      <c r="B34" s="35" t="s">
        <v>223</v>
      </c>
      <c r="C34" s="46"/>
      <c r="D34" s="81">
        <v>10199.049231000001</v>
      </c>
      <c r="E34" s="81">
        <f>'bieu xa (PL11)'!U8</f>
        <v>10199.049230999999</v>
      </c>
      <c r="F34" s="51">
        <f t="shared" si="5"/>
        <v>10199.049231000001</v>
      </c>
      <c r="G34" s="72"/>
      <c r="H34" s="36">
        <f t="shared" si="2"/>
        <v>0</v>
      </c>
      <c r="I34" s="72"/>
    </row>
    <row r="35" spans="1:9" s="23" customFormat="1" ht="18.75" customHeight="1" x14ac:dyDescent="0.3">
      <c r="A35" s="48" t="s">
        <v>75</v>
      </c>
      <c r="B35" s="82" t="s">
        <v>218</v>
      </c>
      <c r="C35" s="80">
        <v>107271</v>
      </c>
      <c r="D35" s="80">
        <f>D26</f>
        <v>146940.85079000003</v>
      </c>
      <c r="E35" s="80">
        <f>E26</f>
        <v>151950.76549500003</v>
      </c>
      <c r="F35" s="80">
        <f>D35-C35</f>
        <v>39669.850790000026</v>
      </c>
      <c r="G35" s="72">
        <f t="shared" si="0"/>
        <v>136.98096483672197</v>
      </c>
      <c r="H35" s="32">
        <f>E35-D35</f>
        <v>5009.9147050000029</v>
      </c>
      <c r="I35" s="72">
        <f t="shared" si="1"/>
        <v>103.40947713182898</v>
      </c>
    </row>
    <row r="36" spans="1:9" ht="18" customHeight="1" x14ac:dyDescent="0.3">
      <c r="E36" s="63"/>
      <c r="F36" s="63"/>
      <c r="G36" s="63"/>
    </row>
    <row r="37" spans="1:9" ht="18" customHeight="1" x14ac:dyDescent="0.3">
      <c r="E37" s="64"/>
      <c r="F37" s="64"/>
      <c r="G37" s="64"/>
    </row>
    <row r="38" spans="1:9" ht="18" customHeight="1" x14ac:dyDescent="0.3">
      <c r="E38" s="65"/>
      <c r="F38" s="65"/>
      <c r="G38" s="65"/>
    </row>
    <row r="39" spans="1:9" ht="18" customHeight="1" x14ac:dyDescent="0.3">
      <c r="E39" s="65"/>
      <c r="F39" s="65"/>
      <c r="G39" s="65"/>
    </row>
    <row r="40" spans="1:9" ht="18" customHeight="1" x14ac:dyDescent="0.3">
      <c r="E40" s="66"/>
      <c r="F40" s="66"/>
      <c r="G40" s="66"/>
    </row>
    <row r="41" spans="1:9" ht="18" customHeight="1" x14ac:dyDescent="0.3">
      <c r="E41" s="66"/>
      <c r="F41" s="66"/>
      <c r="G41" s="66"/>
    </row>
    <row r="42" spans="1:9" ht="18" customHeight="1" x14ac:dyDescent="0.3">
      <c r="E42" s="63"/>
      <c r="F42" s="63"/>
      <c r="G42" s="63"/>
    </row>
    <row r="43" spans="1:9" ht="18" customHeight="1" x14ac:dyDescent="0.3">
      <c r="E43" s="63"/>
      <c r="F43" s="63"/>
      <c r="G43" s="63"/>
    </row>
    <row r="44" spans="1:9" ht="18" customHeight="1" x14ac:dyDescent="0.3">
      <c r="E44" s="63"/>
      <c r="F44" s="63"/>
      <c r="G44" s="63"/>
    </row>
    <row r="45" spans="1:9" ht="18" customHeight="1" x14ac:dyDescent="0.3">
      <c r="E45" s="63"/>
      <c r="F45" s="63"/>
      <c r="G45" s="63"/>
    </row>
    <row r="46" spans="1:9" ht="18" customHeight="1" x14ac:dyDescent="0.3">
      <c r="E46" s="63"/>
      <c r="F46" s="63"/>
      <c r="G46" s="63"/>
    </row>
    <row r="47" spans="1:9" ht="18" customHeight="1" x14ac:dyDescent="0.3">
      <c r="E47" s="63"/>
      <c r="F47" s="63"/>
      <c r="G47" s="63"/>
    </row>
    <row r="48" spans="1:9" ht="18" customHeight="1" x14ac:dyDescent="0.3">
      <c r="E48" s="63"/>
      <c r="F48" s="63"/>
      <c r="G48" s="63"/>
    </row>
    <row r="49" spans="5:7" ht="18" customHeight="1" x14ac:dyDescent="0.3">
      <c r="E49" s="63"/>
      <c r="F49" s="63"/>
      <c r="G49" s="63"/>
    </row>
    <row r="50" spans="5:7" ht="18" customHeight="1" x14ac:dyDescent="0.3">
      <c r="E50" s="63"/>
      <c r="F50" s="63"/>
      <c r="G50" s="63"/>
    </row>
    <row r="51" spans="5:7" ht="18" customHeight="1" x14ac:dyDescent="0.3">
      <c r="E51" s="63"/>
      <c r="F51" s="63"/>
      <c r="G51" s="63"/>
    </row>
    <row r="52" spans="5:7" ht="18" customHeight="1" x14ac:dyDescent="0.3">
      <c r="E52" s="63"/>
      <c r="F52" s="63"/>
      <c r="G52" s="63"/>
    </row>
    <row r="53" spans="5:7" ht="18" customHeight="1" x14ac:dyDescent="0.3">
      <c r="E53" s="63"/>
      <c r="F53" s="63"/>
      <c r="G53" s="63"/>
    </row>
    <row r="54" spans="5:7" ht="18" customHeight="1" x14ac:dyDescent="0.3">
      <c r="E54" s="63"/>
      <c r="F54" s="63"/>
      <c r="G54" s="63"/>
    </row>
    <row r="55" spans="5:7" ht="18" customHeight="1" x14ac:dyDescent="0.3">
      <c r="E55" s="63"/>
      <c r="F55" s="63"/>
      <c r="G55" s="63"/>
    </row>
    <row r="56" spans="5:7" ht="18" customHeight="1" x14ac:dyDescent="0.3">
      <c r="E56" s="63"/>
      <c r="F56" s="63"/>
      <c r="G56" s="63"/>
    </row>
    <row r="57" spans="5:7" ht="18" customHeight="1" x14ac:dyDescent="0.3">
      <c r="E57" s="63"/>
      <c r="F57" s="63"/>
      <c r="G57" s="63"/>
    </row>
    <row r="58" spans="5:7" ht="18" customHeight="1" x14ac:dyDescent="0.3">
      <c r="E58" s="63"/>
      <c r="F58" s="63"/>
      <c r="G58" s="63"/>
    </row>
    <row r="59" spans="5:7" ht="18" customHeight="1" x14ac:dyDescent="0.3">
      <c r="E59" s="63"/>
      <c r="F59" s="63"/>
      <c r="G59" s="63"/>
    </row>
    <row r="60" spans="5:7" ht="18" customHeight="1" x14ac:dyDescent="0.3">
      <c r="E60" s="63"/>
      <c r="F60" s="63"/>
      <c r="G60" s="63"/>
    </row>
    <row r="61" spans="5:7" ht="18" customHeight="1" x14ac:dyDescent="0.3">
      <c r="E61" s="63"/>
      <c r="F61" s="63"/>
      <c r="G61" s="63"/>
    </row>
    <row r="62" spans="5:7" ht="18" customHeight="1" x14ac:dyDescent="0.3">
      <c r="E62" s="63"/>
      <c r="F62" s="63"/>
      <c r="G62" s="63"/>
    </row>
    <row r="63" spans="5:7" ht="18" customHeight="1" x14ac:dyDescent="0.3">
      <c r="E63" s="63"/>
      <c r="F63" s="63"/>
      <c r="G63" s="63"/>
    </row>
    <row r="64" spans="5:7" ht="18" customHeight="1" x14ac:dyDescent="0.3">
      <c r="E64" s="63"/>
      <c r="F64" s="63"/>
      <c r="G64" s="63"/>
    </row>
    <row r="65" spans="5:7" ht="18" customHeight="1" x14ac:dyDescent="0.3">
      <c r="E65" s="63"/>
      <c r="F65" s="63"/>
      <c r="G65" s="63"/>
    </row>
    <row r="66" spans="5:7" ht="18" customHeight="1" x14ac:dyDescent="0.3">
      <c r="E66" s="63"/>
      <c r="F66" s="63"/>
      <c r="G66" s="63"/>
    </row>
    <row r="67" spans="5:7" ht="18" customHeight="1" x14ac:dyDescent="0.3">
      <c r="E67" s="63"/>
      <c r="F67" s="63"/>
      <c r="G67" s="63"/>
    </row>
    <row r="68" spans="5:7" ht="18" customHeight="1" x14ac:dyDescent="0.3">
      <c r="E68" s="63"/>
      <c r="F68" s="63"/>
      <c r="G68" s="63"/>
    </row>
    <row r="69" spans="5:7" ht="18" customHeight="1" x14ac:dyDescent="0.3">
      <c r="E69" s="63"/>
      <c r="F69" s="63"/>
      <c r="G69" s="63"/>
    </row>
    <row r="70" spans="5:7" ht="18" customHeight="1" x14ac:dyDescent="0.3">
      <c r="E70" s="63"/>
      <c r="F70" s="63"/>
      <c r="G70" s="63"/>
    </row>
    <row r="71" spans="5:7" ht="18" customHeight="1" x14ac:dyDescent="0.3">
      <c r="E71" s="63"/>
      <c r="F71" s="63"/>
      <c r="G71" s="63"/>
    </row>
    <row r="72" spans="5:7" ht="18" customHeight="1" x14ac:dyDescent="0.3">
      <c r="E72" s="63"/>
      <c r="F72" s="63"/>
      <c r="G72" s="63"/>
    </row>
    <row r="73" spans="5:7" ht="18" customHeight="1" x14ac:dyDescent="0.3">
      <c r="E73" s="63"/>
      <c r="F73" s="63"/>
      <c r="G73" s="63"/>
    </row>
    <row r="74" spans="5:7" ht="18" customHeight="1" x14ac:dyDescent="0.3">
      <c r="E74" s="63"/>
      <c r="F74" s="63"/>
      <c r="G74" s="63"/>
    </row>
    <row r="75" spans="5:7" ht="18" customHeight="1" x14ac:dyDescent="0.3">
      <c r="E75" s="63"/>
      <c r="F75" s="63"/>
      <c r="G75" s="63"/>
    </row>
    <row r="76" spans="5:7" ht="18" customHeight="1" x14ac:dyDescent="0.3">
      <c r="E76" s="63"/>
      <c r="F76" s="63"/>
      <c r="G76" s="63"/>
    </row>
    <row r="77" spans="5:7" ht="18" customHeight="1" x14ac:dyDescent="0.3">
      <c r="E77" s="63"/>
      <c r="F77" s="63"/>
      <c r="G77" s="63"/>
    </row>
    <row r="78" spans="5:7" ht="18" customHeight="1" x14ac:dyDescent="0.3">
      <c r="E78" s="63"/>
      <c r="F78" s="63"/>
      <c r="G78" s="63"/>
    </row>
    <row r="79" spans="5:7" ht="18" customHeight="1" x14ac:dyDescent="0.3">
      <c r="E79" s="63"/>
      <c r="F79" s="63"/>
      <c r="G79" s="63"/>
    </row>
    <row r="80" spans="5:7" ht="18" customHeight="1" x14ac:dyDescent="0.3">
      <c r="E80" s="63"/>
      <c r="F80" s="63"/>
      <c r="G80" s="63"/>
    </row>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sheetData>
  <mergeCells count="12">
    <mergeCell ref="H5:I5"/>
    <mergeCell ref="A5:A6"/>
    <mergeCell ref="B5:B6"/>
    <mergeCell ref="H1:I1"/>
    <mergeCell ref="A2:I2"/>
    <mergeCell ref="A3:I3"/>
    <mergeCell ref="H4:I4"/>
    <mergeCell ref="D4:E4"/>
    <mergeCell ref="D5:D6"/>
    <mergeCell ref="E5:E6"/>
    <mergeCell ref="C5:C6"/>
    <mergeCell ref="F5:G5"/>
  </mergeCells>
  <phoneticPr fontId="3" type="noConversion"/>
  <printOptions horizontalCentered="1"/>
  <pageMargins left="0.2" right="0.118110236220472" top="0.59055118110236204" bottom="0.196850393700787" header="0.511811023622047" footer="0.511811023622047"/>
  <pageSetup paperSize="9" scale="60" orientation="portrait" verticalDpi="0" r:id="rId1"/>
  <headerFooter alignWithMargins="0">
    <oddFooter>&amp;F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7"/>
  <sheetViews>
    <sheetView workbookViewId="0">
      <selection activeCell="F29" sqref="F29"/>
    </sheetView>
  </sheetViews>
  <sheetFormatPr defaultColWidth="10.42578125" defaultRowHeight="18.75" x14ac:dyDescent="0.2"/>
  <cols>
    <col min="1" max="1" width="6.5703125" style="84" customWidth="1"/>
    <col min="2" max="2" width="52.140625" style="84" customWidth="1"/>
    <col min="3" max="6" width="14.140625" style="84" bestFit="1" customWidth="1"/>
    <col min="7" max="7" width="13.28515625" style="84" customWidth="1"/>
    <col min="8" max="8" width="13.42578125" style="84" customWidth="1"/>
    <col min="9" max="10" width="12.42578125" style="84" customWidth="1"/>
    <col min="11" max="11" width="13.7109375" style="84" customWidth="1"/>
    <col min="12" max="12" width="13.28515625" style="84" customWidth="1"/>
    <col min="13" max="16384" width="10.42578125" style="84"/>
  </cols>
  <sheetData>
    <row r="1" spans="1:14" ht="19.5" customHeight="1" x14ac:dyDescent="0.3">
      <c r="A1" s="22"/>
      <c r="B1" s="22"/>
      <c r="C1" s="83"/>
      <c r="D1" s="83"/>
      <c r="E1" s="83"/>
      <c r="F1" s="83"/>
      <c r="G1" s="83"/>
      <c r="H1" s="83"/>
      <c r="I1" s="83"/>
      <c r="J1" s="83"/>
      <c r="K1" s="218" t="s">
        <v>288</v>
      </c>
      <c r="L1" s="218"/>
    </row>
    <row r="2" spans="1:14" ht="18.75" customHeight="1" x14ac:dyDescent="0.2">
      <c r="A2" s="218" t="s">
        <v>255</v>
      </c>
      <c r="B2" s="218"/>
      <c r="C2" s="218"/>
      <c r="D2" s="218"/>
      <c r="E2" s="218"/>
      <c r="F2" s="218"/>
      <c r="G2" s="218"/>
      <c r="H2" s="218"/>
      <c r="I2" s="218"/>
      <c r="J2" s="218"/>
      <c r="K2" s="218"/>
      <c r="L2" s="218"/>
    </row>
    <row r="3" spans="1:14" x14ac:dyDescent="0.3">
      <c r="A3" s="215" t="str">
        <f>'bieu 12 (PL05)'!A3:I3</f>
        <v>(Kèm theo Tờ trình số:         /TTr-UBND ngày      tháng 8 năm 2024 của UBND huyện Phụng Hiệp)</v>
      </c>
      <c r="B3" s="215"/>
      <c r="C3" s="215"/>
      <c r="D3" s="215"/>
      <c r="E3" s="215"/>
      <c r="F3" s="215"/>
      <c r="G3" s="215"/>
      <c r="H3" s="215"/>
      <c r="I3" s="215"/>
      <c r="J3" s="215"/>
      <c r="K3" s="215"/>
      <c r="L3" s="215"/>
    </row>
    <row r="4" spans="1:14" ht="25.5" customHeight="1" x14ac:dyDescent="0.2">
      <c r="K4" s="219" t="s">
        <v>25</v>
      </c>
      <c r="L4" s="219"/>
    </row>
    <row r="5" spans="1:14" ht="25.5" customHeight="1" x14ac:dyDescent="0.2">
      <c r="A5" s="221" t="s">
        <v>3</v>
      </c>
      <c r="B5" s="221" t="s">
        <v>26</v>
      </c>
      <c r="C5" s="221" t="s">
        <v>270</v>
      </c>
      <c r="D5" s="221"/>
      <c r="E5" s="221" t="s">
        <v>272</v>
      </c>
      <c r="F5" s="221"/>
      <c r="G5" s="221" t="s">
        <v>271</v>
      </c>
      <c r="H5" s="221"/>
      <c r="I5" s="212" t="s">
        <v>279</v>
      </c>
      <c r="J5" s="212"/>
      <c r="K5" s="212"/>
      <c r="L5" s="212"/>
    </row>
    <row r="6" spans="1:14" s="85" customFormat="1" ht="54" customHeight="1" x14ac:dyDescent="0.2">
      <c r="A6" s="221"/>
      <c r="B6" s="221"/>
      <c r="C6" s="221"/>
      <c r="D6" s="221"/>
      <c r="E6" s="221"/>
      <c r="F6" s="221"/>
      <c r="G6" s="221"/>
      <c r="H6" s="221"/>
      <c r="I6" s="221" t="s">
        <v>280</v>
      </c>
      <c r="J6" s="221"/>
      <c r="K6" s="221" t="s">
        <v>281</v>
      </c>
      <c r="L6" s="221"/>
    </row>
    <row r="7" spans="1:14" s="85" customFormat="1" ht="38.25" customHeight="1" x14ac:dyDescent="0.2">
      <c r="A7" s="221"/>
      <c r="B7" s="221"/>
      <c r="C7" s="86" t="s">
        <v>27</v>
      </c>
      <c r="D7" s="86" t="s">
        <v>28</v>
      </c>
      <c r="E7" s="86" t="s">
        <v>27</v>
      </c>
      <c r="F7" s="86" t="s">
        <v>28</v>
      </c>
      <c r="G7" s="86" t="s">
        <v>27</v>
      </c>
      <c r="H7" s="86" t="s">
        <v>28</v>
      </c>
      <c r="I7" s="86" t="s">
        <v>27</v>
      </c>
      <c r="J7" s="86" t="s">
        <v>28</v>
      </c>
      <c r="K7" s="86" t="s">
        <v>27</v>
      </c>
      <c r="L7" s="86" t="s">
        <v>28</v>
      </c>
    </row>
    <row r="8" spans="1:14" s="95" customFormat="1" x14ac:dyDescent="0.2">
      <c r="A8" s="121" t="s">
        <v>0</v>
      </c>
      <c r="B8" s="121" t="s">
        <v>1</v>
      </c>
      <c r="C8" s="160" t="s">
        <v>22</v>
      </c>
      <c r="D8" s="160" t="s">
        <v>23</v>
      </c>
      <c r="E8" s="160" t="s">
        <v>118</v>
      </c>
      <c r="F8" s="160" t="s">
        <v>11</v>
      </c>
      <c r="G8" s="160" t="s">
        <v>18</v>
      </c>
      <c r="H8" s="160" t="s">
        <v>19</v>
      </c>
      <c r="I8" s="160" t="s">
        <v>98</v>
      </c>
      <c r="J8" s="160" t="s">
        <v>100</v>
      </c>
      <c r="K8" s="160" t="s">
        <v>102</v>
      </c>
      <c r="L8" s="160" t="s">
        <v>104</v>
      </c>
    </row>
    <row r="9" spans="1:14" s="87" customFormat="1" x14ac:dyDescent="0.2">
      <c r="A9" s="86"/>
      <c r="B9" s="122" t="s">
        <v>29</v>
      </c>
      <c r="C9" s="123">
        <f t="shared" ref="C9:D9" si="0">C10+C63+C64+C71</f>
        <v>114010</v>
      </c>
      <c r="D9" s="123">
        <f t="shared" si="0"/>
        <v>110610</v>
      </c>
      <c r="E9" s="123">
        <f t="shared" ref="E9:F9" si="1">E10+E63+E64+E71</f>
        <v>114010</v>
      </c>
      <c r="F9" s="123">
        <f t="shared" si="1"/>
        <v>110610</v>
      </c>
      <c r="G9" s="123">
        <f t="shared" ref="G9:H9" si="2">G10+G63+G64+G71</f>
        <v>183810</v>
      </c>
      <c r="H9" s="123">
        <f t="shared" si="2"/>
        <v>110610</v>
      </c>
      <c r="I9" s="124">
        <f>E9/C9*100</f>
        <v>100</v>
      </c>
      <c r="J9" s="124">
        <f>F9/D9*100</f>
        <v>100</v>
      </c>
      <c r="K9" s="124">
        <f>G9/E9*100</f>
        <v>161.22269976317867</v>
      </c>
      <c r="L9" s="124">
        <f>H9/F9*100</f>
        <v>100</v>
      </c>
    </row>
    <row r="10" spans="1:14" s="87" customFormat="1" x14ac:dyDescent="0.2">
      <c r="A10" s="86" t="s">
        <v>30</v>
      </c>
      <c r="B10" s="122" t="s">
        <v>31</v>
      </c>
      <c r="C10" s="123">
        <f t="shared" ref="C10:D10" si="3">C15+C18+C22+C27+C32+C33+C36+C37+C44+C45+C46+C48+C51+C52+C53+C54+C59+C60+C61+C62</f>
        <v>114010</v>
      </c>
      <c r="D10" s="123">
        <f t="shared" si="3"/>
        <v>110610</v>
      </c>
      <c r="E10" s="123">
        <f t="shared" ref="E10:H10" si="4">E15+E18+E22+E27+E32+E33+E36+E37+E44+E45+E46+E48+E51+E52+E53+E54+E59+E60+E61+E62</f>
        <v>114010</v>
      </c>
      <c r="F10" s="123">
        <f t="shared" si="4"/>
        <v>110610</v>
      </c>
      <c r="G10" s="123">
        <f t="shared" si="4"/>
        <v>183810</v>
      </c>
      <c r="H10" s="123">
        <f t="shared" si="4"/>
        <v>110610</v>
      </c>
      <c r="I10" s="124">
        <f t="shared" ref="I10:I58" si="5">E10/C10*100</f>
        <v>100</v>
      </c>
      <c r="J10" s="124">
        <f t="shared" ref="J10:J55" si="6">F10/D10*100</f>
        <v>100</v>
      </c>
      <c r="K10" s="124">
        <f>G10/E10*100</f>
        <v>161.22269976317867</v>
      </c>
      <c r="L10" s="124">
        <f>H10/F10*100</f>
        <v>100</v>
      </c>
      <c r="N10" s="91"/>
    </row>
    <row r="11" spans="1:14" s="87" customFormat="1" ht="37.5" hidden="1" x14ac:dyDescent="0.2">
      <c r="A11" s="125" t="s">
        <v>32</v>
      </c>
      <c r="B11" s="122" t="s">
        <v>33</v>
      </c>
      <c r="C11" s="123"/>
      <c r="D11" s="123"/>
      <c r="E11" s="123"/>
      <c r="F11" s="123"/>
      <c r="G11" s="123"/>
      <c r="H11" s="123"/>
      <c r="I11" s="124" t="e">
        <f t="shared" si="5"/>
        <v>#DIV/0!</v>
      </c>
      <c r="J11" s="124" t="e">
        <f t="shared" si="6"/>
        <v>#DIV/0!</v>
      </c>
      <c r="K11" s="124" t="e">
        <f>#REF!/G11*100</f>
        <v>#REF!</v>
      </c>
      <c r="L11" s="124" t="e">
        <f>#REF!/H11*100</f>
        <v>#REF!</v>
      </c>
      <c r="N11" s="91"/>
    </row>
    <row r="12" spans="1:14" s="87" customFormat="1" ht="56.25" hidden="1" x14ac:dyDescent="0.2">
      <c r="A12" s="125" t="s">
        <v>32</v>
      </c>
      <c r="B12" s="122" t="s">
        <v>34</v>
      </c>
      <c r="C12" s="123"/>
      <c r="D12" s="123"/>
      <c r="E12" s="123"/>
      <c r="F12" s="123"/>
      <c r="G12" s="123"/>
      <c r="H12" s="123"/>
      <c r="I12" s="124" t="e">
        <f t="shared" si="5"/>
        <v>#DIV/0!</v>
      </c>
      <c r="J12" s="124" t="e">
        <f t="shared" si="6"/>
        <v>#DIV/0!</v>
      </c>
      <c r="K12" s="124" t="e">
        <f>#REF!/G12*100</f>
        <v>#REF!</v>
      </c>
      <c r="L12" s="124" t="e">
        <f>#REF!/H12*100</f>
        <v>#REF!</v>
      </c>
    </row>
    <row r="13" spans="1:14" s="87" customFormat="1" ht="37.5" hidden="1" x14ac:dyDescent="0.2">
      <c r="A13" s="86" t="s">
        <v>32</v>
      </c>
      <c r="B13" s="122" t="s">
        <v>35</v>
      </c>
      <c r="C13" s="123"/>
      <c r="D13" s="123"/>
      <c r="E13" s="123"/>
      <c r="F13" s="123"/>
      <c r="G13" s="123"/>
      <c r="H13" s="123"/>
      <c r="I13" s="124" t="e">
        <f t="shared" si="5"/>
        <v>#DIV/0!</v>
      </c>
      <c r="J13" s="124" t="e">
        <f t="shared" si="6"/>
        <v>#DIV/0!</v>
      </c>
      <c r="K13" s="124" t="e">
        <f>#REF!/G13*100</f>
        <v>#REF!</v>
      </c>
      <c r="L13" s="124" t="e">
        <f>#REF!/H13*100</f>
        <v>#REF!</v>
      </c>
    </row>
    <row r="14" spans="1:14" s="87" customFormat="1" ht="56.25" hidden="1" x14ac:dyDescent="0.2">
      <c r="A14" s="86" t="s">
        <v>32</v>
      </c>
      <c r="B14" s="122" t="s">
        <v>36</v>
      </c>
      <c r="C14" s="123"/>
      <c r="D14" s="123"/>
      <c r="E14" s="123"/>
      <c r="F14" s="123"/>
      <c r="G14" s="123"/>
      <c r="H14" s="123"/>
      <c r="I14" s="124" t="e">
        <f t="shared" si="5"/>
        <v>#DIV/0!</v>
      </c>
      <c r="J14" s="124" t="e">
        <f t="shared" si="6"/>
        <v>#DIV/0!</v>
      </c>
      <c r="K14" s="124" t="e">
        <f>#REF!/G14*100</f>
        <v>#REF!</v>
      </c>
      <c r="L14" s="124" t="e">
        <f>#REF!/H14*100</f>
        <v>#REF!</v>
      </c>
    </row>
    <row r="15" spans="1:14" ht="37.5" hidden="1" x14ac:dyDescent="0.2">
      <c r="A15" s="120">
        <v>1</v>
      </c>
      <c r="B15" s="126" t="s">
        <v>37</v>
      </c>
      <c r="C15" s="127"/>
      <c r="D15" s="127"/>
      <c r="E15" s="127"/>
      <c r="F15" s="127"/>
      <c r="G15" s="127"/>
      <c r="H15" s="127"/>
      <c r="I15" s="124" t="e">
        <f t="shared" si="5"/>
        <v>#DIV/0!</v>
      </c>
      <c r="J15" s="124" t="e">
        <f t="shared" si="6"/>
        <v>#DIV/0!</v>
      </c>
      <c r="K15" s="124" t="e">
        <f>#REF!/G15*100</f>
        <v>#REF!</v>
      </c>
      <c r="L15" s="124" t="e">
        <f>#REF!/H15*100</f>
        <v>#REF!</v>
      </c>
    </row>
    <row r="16" spans="1:14" s="95" customFormat="1" ht="37.5" hidden="1" x14ac:dyDescent="0.2">
      <c r="A16" s="121"/>
      <c r="B16" s="129" t="s">
        <v>38</v>
      </c>
      <c r="C16" s="130"/>
      <c r="D16" s="130"/>
      <c r="E16" s="130"/>
      <c r="F16" s="130"/>
      <c r="G16" s="130"/>
      <c r="H16" s="130"/>
      <c r="I16" s="124" t="e">
        <f t="shared" si="5"/>
        <v>#DIV/0!</v>
      </c>
      <c r="J16" s="124" t="e">
        <f t="shared" si="6"/>
        <v>#DIV/0!</v>
      </c>
      <c r="K16" s="124" t="e">
        <f>#REF!/G16*100</f>
        <v>#REF!</v>
      </c>
      <c r="L16" s="124" t="e">
        <f>#REF!/H16*100</f>
        <v>#REF!</v>
      </c>
    </row>
    <row r="17" spans="1:12" s="95" customFormat="1" hidden="1" x14ac:dyDescent="0.2">
      <c r="A17" s="121"/>
      <c r="B17" s="129" t="s">
        <v>39</v>
      </c>
      <c r="C17" s="130"/>
      <c r="D17" s="130"/>
      <c r="E17" s="130"/>
      <c r="F17" s="130"/>
      <c r="G17" s="130"/>
      <c r="H17" s="130"/>
      <c r="I17" s="124" t="e">
        <f t="shared" si="5"/>
        <v>#DIV/0!</v>
      </c>
      <c r="J17" s="124" t="e">
        <f t="shared" si="6"/>
        <v>#DIV/0!</v>
      </c>
      <c r="K17" s="124" t="e">
        <f>#REF!/G17*100</f>
        <v>#REF!</v>
      </c>
      <c r="L17" s="124" t="e">
        <f>#REF!/H17*100</f>
        <v>#REF!</v>
      </c>
    </row>
    <row r="18" spans="1:12" ht="37.5" hidden="1" x14ac:dyDescent="0.2">
      <c r="A18" s="120">
        <v>2</v>
      </c>
      <c r="B18" s="126" t="s">
        <v>40</v>
      </c>
      <c r="C18" s="127">
        <f t="shared" ref="C18:H18" si="7">SUM(C19:C20)</f>
        <v>0</v>
      </c>
      <c r="D18" s="127">
        <f t="shared" si="7"/>
        <v>0</v>
      </c>
      <c r="E18" s="127">
        <f t="shared" si="7"/>
        <v>0</v>
      </c>
      <c r="F18" s="127">
        <f t="shared" si="7"/>
        <v>0</v>
      </c>
      <c r="G18" s="127">
        <f t="shared" si="7"/>
        <v>0</v>
      </c>
      <c r="H18" s="127">
        <f t="shared" si="7"/>
        <v>0</v>
      </c>
      <c r="I18" s="124" t="e">
        <f t="shared" si="5"/>
        <v>#DIV/0!</v>
      </c>
      <c r="J18" s="124" t="e">
        <f t="shared" si="6"/>
        <v>#DIV/0!</v>
      </c>
      <c r="K18" s="124" t="e">
        <f>#REF!/G18*100</f>
        <v>#REF!</v>
      </c>
      <c r="L18" s="124" t="e">
        <f>#REF!/H18*100</f>
        <v>#REF!</v>
      </c>
    </row>
    <row r="19" spans="1:12" s="95" customFormat="1" ht="37.5" hidden="1" x14ac:dyDescent="0.2">
      <c r="A19" s="121"/>
      <c r="B19" s="129" t="s">
        <v>38</v>
      </c>
      <c r="C19" s="131"/>
      <c r="D19" s="131"/>
      <c r="E19" s="131"/>
      <c r="F19" s="131"/>
      <c r="G19" s="131"/>
      <c r="H19" s="131"/>
      <c r="I19" s="124" t="e">
        <f t="shared" si="5"/>
        <v>#DIV/0!</v>
      </c>
      <c r="J19" s="124" t="e">
        <f t="shared" si="6"/>
        <v>#DIV/0!</v>
      </c>
      <c r="K19" s="124" t="e">
        <f>#REF!/G19*100</f>
        <v>#REF!</v>
      </c>
      <c r="L19" s="124" t="e">
        <f>#REF!/H19*100</f>
        <v>#REF!</v>
      </c>
    </row>
    <row r="20" spans="1:12" s="95" customFormat="1" hidden="1" x14ac:dyDescent="0.2">
      <c r="A20" s="121"/>
      <c r="B20" s="129" t="s">
        <v>39</v>
      </c>
      <c r="C20" s="131"/>
      <c r="D20" s="131"/>
      <c r="E20" s="131"/>
      <c r="F20" s="131"/>
      <c r="G20" s="131"/>
      <c r="H20" s="131"/>
      <c r="I20" s="124" t="e">
        <f t="shared" si="5"/>
        <v>#DIV/0!</v>
      </c>
      <c r="J20" s="124" t="e">
        <f t="shared" si="6"/>
        <v>#DIV/0!</v>
      </c>
      <c r="K20" s="124" t="e">
        <f>#REF!/G20*100</f>
        <v>#REF!</v>
      </c>
      <c r="L20" s="124" t="e">
        <f>#REF!/H20*100</f>
        <v>#REF!</v>
      </c>
    </row>
    <row r="21" spans="1:12" s="95" customFormat="1" hidden="1" x14ac:dyDescent="0.2">
      <c r="A21" s="121"/>
      <c r="B21" s="129" t="s">
        <v>41</v>
      </c>
      <c r="C21" s="131"/>
      <c r="D21" s="131"/>
      <c r="E21" s="131"/>
      <c r="F21" s="131"/>
      <c r="G21" s="131"/>
      <c r="H21" s="131"/>
      <c r="I21" s="124" t="e">
        <f t="shared" si="5"/>
        <v>#DIV/0!</v>
      </c>
      <c r="J21" s="124" t="e">
        <f t="shared" si="6"/>
        <v>#DIV/0!</v>
      </c>
      <c r="K21" s="124" t="e">
        <f>#REF!/G21*100</f>
        <v>#REF!</v>
      </c>
      <c r="L21" s="124" t="e">
        <f>#REF!/H21*100</f>
        <v>#REF!</v>
      </c>
    </row>
    <row r="22" spans="1:12" ht="37.5" hidden="1" x14ac:dyDescent="0.2">
      <c r="A22" s="120">
        <v>3</v>
      </c>
      <c r="B22" s="126" t="s">
        <v>42</v>
      </c>
      <c r="C22" s="127"/>
      <c r="D22" s="127"/>
      <c r="E22" s="127"/>
      <c r="F22" s="127"/>
      <c r="G22" s="127"/>
      <c r="H22" s="127"/>
      <c r="I22" s="124" t="e">
        <f t="shared" si="5"/>
        <v>#DIV/0!</v>
      </c>
      <c r="J22" s="124" t="e">
        <f t="shared" si="6"/>
        <v>#DIV/0!</v>
      </c>
      <c r="K22" s="124" t="e">
        <f>#REF!/G22*100</f>
        <v>#REF!</v>
      </c>
      <c r="L22" s="124" t="e">
        <f>#REF!/H22*100</f>
        <v>#REF!</v>
      </c>
    </row>
    <row r="23" spans="1:12" s="95" customFormat="1" ht="37.5" hidden="1" x14ac:dyDescent="0.2">
      <c r="A23" s="121"/>
      <c r="B23" s="129" t="s">
        <v>38</v>
      </c>
      <c r="C23" s="131"/>
      <c r="D23" s="131"/>
      <c r="E23" s="131"/>
      <c r="F23" s="131"/>
      <c r="G23" s="131"/>
      <c r="H23" s="131"/>
      <c r="I23" s="124" t="e">
        <f t="shared" si="5"/>
        <v>#DIV/0!</v>
      </c>
      <c r="J23" s="124" t="e">
        <f t="shared" si="6"/>
        <v>#DIV/0!</v>
      </c>
      <c r="K23" s="124" t="e">
        <f>#REF!/G23*100</f>
        <v>#REF!</v>
      </c>
      <c r="L23" s="124" t="e">
        <f>#REF!/H23*100</f>
        <v>#REF!</v>
      </c>
    </row>
    <row r="24" spans="1:12" s="95" customFormat="1" hidden="1" x14ac:dyDescent="0.2">
      <c r="A24" s="121"/>
      <c r="B24" s="129" t="s">
        <v>39</v>
      </c>
      <c r="C24" s="131"/>
      <c r="D24" s="131"/>
      <c r="E24" s="131"/>
      <c r="F24" s="131"/>
      <c r="G24" s="131"/>
      <c r="H24" s="131"/>
      <c r="I24" s="124" t="e">
        <f t="shared" si="5"/>
        <v>#DIV/0!</v>
      </c>
      <c r="J24" s="124" t="e">
        <f t="shared" si="6"/>
        <v>#DIV/0!</v>
      </c>
      <c r="K24" s="124" t="e">
        <f>#REF!/G24*100</f>
        <v>#REF!</v>
      </c>
      <c r="L24" s="124" t="e">
        <f>#REF!/H24*100</f>
        <v>#REF!</v>
      </c>
    </row>
    <row r="25" spans="1:12" s="95" customFormat="1" hidden="1" x14ac:dyDescent="0.2">
      <c r="A25" s="121"/>
      <c r="B25" s="129" t="s">
        <v>41</v>
      </c>
      <c r="C25" s="131"/>
      <c r="D25" s="131"/>
      <c r="E25" s="131"/>
      <c r="F25" s="131"/>
      <c r="G25" s="131"/>
      <c r="H25" s="131"/>
      <c r="I25" s="124" t="e">
        <f t="shared" si="5"/>
        <v>#DIV/0!</v>
      </c>
      <c r="J25" s="124" t="e">
        <f t="shared" si="6"/>
        <v>#DIV/0!</v>
      </c>
      <c r="K25" s="124" t="e">
        <f>#REF!/G25*100</f>
        <v>#REF!</v>
      </c>
      <c r="L25" s="124" t="e">
        <f>#REF!/H25*100</f>
        <v>#REF!</v>
      </c>
    </row>
    <row r="26" spans="1:12" s="95" customFormat="1" hidden="1" x14ac:dyDescent="0.2">
      <c r="A26" s="121"/>
      <c r="B26" s="129" t="s">
        <v>43</v>
      </c>
      <c r="C26" s="131"/>
      <c r="D26" s="131"/>
      <c r="E26" s="131"/>
      <c r="F26" s="131"/>
      <c r="G26" s="131"/>
      <c r="H26" s="131"/>
      <c r="I26" s="124" t="e">
        <f t="shared" si="5"/>
        <v>#DIV/0!</v>
      </c>
      <c r="J26" s="124" t="e">
        <f t="shared" si="6"/>
        <v>#DIV/0!</v>
      </c>
      <c r="K26" s="124" t="e">
        <f>#REF!/G26*100</f>
        <v>#REF!</v>
      </c>
      <c r="L26" s="124" t="e">
        <f>#REF!/H26*100</f>
        <v>#REF!</v>
      </c>
    </row>
    <row r="27" spans="1:12" x14ac:dyDescent="0.2">
      <c r="A27" s="120">
        <v>1</v>
      </c>
      <c r="B27" s="132" t="s">
        <v>44</v>
      </c>
      <c r="C27" s="127">
        <f t="shared" ref="C27:D27" si="8">SUM(C28:C31)</f>
        <v>49900</v>
      </c>
      <c r="D27" s="127">
        <f t="shared" si="8"/>
        <v>49900</v>
      </c>
      <c r="E27" s="127">
        <f t="shared" ref="E27:F27" si="9">SUM(E28:E31)</f>
        <v>49900</v>
      </c>
      <c r="F27" s="127">
        <f t="shared" si="9"/>
        <v>49900</v>
      </c>
      <c r="G27" s="127">
        <f t="shared" ref="G27:H27" si="10">SUM(G28:G31)</f>
        <v>49900</v>
      </c>
      <c r="H27" s="127">
        <f t="shared" si="10"/>
        <v>49900</v>
      </c>
      <c r="I27" s="128">
        <f t="shared" si="5"/>
        <v>100</v>
      </c>
      <c r="J27" s="128">
        <f t="shared" si="6"/>
        <v>100</v>
      </c>
      <c r="K27" s="128">
        <f>E27/G27*100</f>
        <v>100</v>
      </c>
      <c r="L27" s="128">
        <f>F27/H27*100</f>
        <v>100</v>
      </c>
    </row>
    <row r="28" spans="1:12" s="95" customFormat="1" x14ac:dyDescent="0.2">
      <c r="A28" s="121"/>
      <c r="B28" s="129" t="s">
        <v>45</v>
      </c>
      <c r="C28" s="131">
        <v>49900</v>
      </c>
      <c r="D28" s="131">
        <f>C28</f>
        <v>49900</v>
      </c>
      <c r="E28" s="131">
        <v>49900</v>
      </c>
      <c r="F28" s="131">
        <f>E28</f>
        <v>49900</v>
      </c>
      <c r="G28" s="131">
        <v>49900</v>
      </c>
      <c r="H28" s="131">
        <f>G28</f>
        <v>49900</v>
      </c>
      <c r="I28" s="128">
        <f t="shared" si="5"/>
        <v>100</v>
      </c>
      <c r="J28" s="128">
        <f t="shared" si="6"/>
        <v>100</v>
      </c>
      <c r="K28" s="128">
        <f>E28/G28*100</f>
        <v>100</v>
      </c>
      <c r="L28" s="128">
        <f>G28/H28*100</f>
        <v>100</v>
      </c>
    </row>
    <row r="29" spans="1:12" s="95" customFormat="1" ht="37.5" x14ac:dyDescent="0.2">
      <c r="A29" s="121"/>
      <c r="B29" s="129" t="s">
        <v>46</v>
      </c>
      <c r="C29" s="131"/>
      <c r="D29" s="131"/>
      <c r="E29" s="131"/>
      <c r="F29" s="131"/>
      <c r="G29" s="131"/>
      <c r="H29" s="131"/>
      <c r="I29" s="128"/>
      <c r="J29" s="128"/>
      <c r="K29" s="128"/>
      <c r="L29" s="128"/>
    </row>
    <row r="30" spans="1:12" s="95" customFormat="1" x14ac:dyDescent="0.2">
      <c r="A30" s="121"/>
      <c r="B30" s="129" t="s">
        <v>41</v>
      </c>
      <c r="C30" s="131"/>
      <c r="D30" s="131"/>
      <c r="E30" s="131"/>
      <c r="F30" s="131"/>
      <c r="G30" s="131"/>
      <c r="H30" s="131"/>
      <c r="I30" s="128"/>
      <c r="J30" s="128"/>
      <c r="K30" s="128"/>
      <c r="L30" s="128"/>
    </row>
    <row r="31" spans="1:12" s="95" customFormat="1" x14ac:dyDescent="0.2">
      <c r="A31" s="121"/>
      <c r="B31" s="129" t="s">
        <v>47</v>
      </c>
      <c r="C31" s="131"/>
      <c r="D31" s="131"/>
      <c r="E31" s="131"/>
      <c r="F31" s="131"/>
      <c r="G31" s="131"/>
      <c r="H31" s="131"/>
      <c r="I31" s="128"/>
      <c r="J31" s="128"/>
      <c r="K31" s="128"/>
      <c r="L31" s="128"/>
    </row>
    <row r="32" spans="1:12" x14ac:dyDescent="0.2">
      <c r="A32" s="120">
        <v>2</v>
      </c>
      <c r="B32" s="132" t="s">
        <v>48</v>
      </c>
      <c r="C32" s="127">
        <v>25610</v>
      </c>
      <c r="D32" s="127">
        <f>C32</f>
        <v>25610</v>
      </c>
      <c r="E32" s="127">
        <v>25610</v>
      </c>
      <c r="F32" s="127">
        <f>E32</f>
        <v>25610</v>
      </c>
      <c r="G32" s="127">
        <v>25610</v>
      </c>
      <c r="H32" s="127">
        <f>G32</f>
        <v>25610</v>
      </c>
      <c r="I32" s="128">
        <f t="shared" si="5"/>
        <v>100</v>
      </c>
      <c r="J32" s="128">
        <f t="shared" si="6"/>
        <v>100</v>
      </c>
      <c r="K32" s="128">
        <f>E32/G32*100</f>
        <v>100</v>
      </c>
      <c r="L32" s="128">
        <f>F32/H32*100</f>
        <v>100</v>
      </c>
    </row>
    <row r="33" spans="1:12" x14ac:dyDescent="0.2">
      <c r="A33" s="120">
        <v>3</v>
      </c>
      <c r="B33" s="132" t="s">
        <v>49</v>
      </c>
      <c r="C33" s="127"/>
      <c r="D33" s="127"/>
      <c r="E33" s="127"/>
      <c r="F33" s="127"/>
      <c r="G33" s="127"/>
      <c r="H33" s="127"/>
      <c r="I33" s="128"/>
      <c r="J33" s="128"/>
      <c r="K33" s="128"/>
      <c r="L33" s="128"/>
    </row>
    <row r="34" spans="1:12" s="95" customFormat="1" x14ac:dyDescent="0.2">
      <c r="A34" s="121"/>
      <c r="B34" s="129" t="s">
        <v>50</v>
      </c>
      <c r="C34" s="131"/>
      <c r="D34" s="131"/>
      <c r="E34" s="131"/>
      <c r="F34" s="131"/>
      <c r="G34" s="131"/>
      <c r="H34" s="131"/>
      <c r="I34" s="128"/>
      <c r="J34" s="128"/>
      <c r="K34" s="128"/>
      <c r="L34" s="128"/>
    </row>
    <row r="35" spans="1:12" s="95" customFormat="1" x14ac:dyDescent="0.2">
      <c r="A35" s="121"/>
      <c r="B35" s="129" t="s">
        <v>51</v>
      </c>
      <c r="C35" s="131"/>
      <c r="D35" s="131"/>
      <c r="E35" s="131"/>
      <c r="F35" s="131"/>
      <c r="G35" s="131"/>
      <c r="H35" s="131"/>
      <c r="I35" s="128"/>
      <c r="J35" s="128"/>
      <c r="K35" s="128"/>
      <c r="L35" s="128"/>
    </row>
    <row r="36" spans="1:12" x14ac:dyDescent="0.2">
      <c r="A36" s="120">
        <v>4</v>
      </c>
      <c r="B36" s="132" t="s">
        <v>52</v>
      </c>
      <c r="C36" s="127">
        <v>24000</v>
      </c>
      <c r="D36" s="127">
        <f>C36</f>
        <v>24000</v>
      </c>
      <c r="E36" s="127">
        <v>24000</v>
      </c>
      <c r="F36" s="127">
        <f>E36</f>
        <v>24000</v>
      </c>
      <c r="G36" s="127">
        <v>24000</v>
      </c>
      <c r="H36" s="127">
        <f>G36</f>
        <v>24000</v>
      </c>
      <c r="I36" s="128">
        <f t="shared" si="5"/>
        <v>100</v>
      </c>
      <c r="J36" s="128">
        <f t="shared" si="6"/>
        <v>100</v>
      </c>
      <c r="K36" s="128">
        <f t="shared" ref="K36:K58" si="11">E36/G36*100</f>
        <v>100</v>
      </c>
      <c r="L36" s="128">
        <f t="shared" ref="L36:L55" si="12">F36/H36*100</f>
        <v>100</v>
      </c>
    </row>
    <row r="37" spans="1:12" x14ac:dyDescent="0.2">
      <c r="A37" s="120">
        <v>5</v>
      </c>
      <c r="B37" s="132" t="s">
        <v>53</v>
      </c>
      <c r="C37" s="127">
        <v>5300</v>
      </c>
      <c r="D37" s="127">
        <f>C37</f>
        <v>5300</v>
      </c>
      <c r="E37" s="127">
        <v>5300</v>
      </c>
      <c r="F37" s="127">
        <f>E37</f>
        <v>5300</v>
      </c>
      <c r="G37" s="127">
        <v>5300</v>
      </c>
      <c r="H37" s="127">
        <f>G37</f>
        <v>5300</v>
      </c>
      <c r="I37" s="128">
        <f t="shared" si="5"/>
        <v>100</v>
      </c>
      <c r="J37" s="128">
        <f t="shared" si="6"/>
        <v>100</v>
      </c>
      <c r="K37" s="128">
        <f t="shared" si="11"/>
        <v>100</v>
      </c>
      <c r="L37" s="128">
        <f t="shared" si="12"/>
        <v>100</v>
      </c>
    </row>
    <row r="38" spans="1:12" s="95" customFormat="1" hidden="1" x14ac:dyDescent="0.2">
      <c r="A38" s="121"/>
      <c r="B38" s="129" t="s">
        <v>50</v>
      </c>
      <c r="C38" s="131"/>
      <c r="D38" s="131"/>
      <c r="E38" s="131"/>
      <c r="F38" s="131"/>
      <c r="G38" s="131"/>
      <c r="H38" s="131"/>
      <c r="I38" s="128" t="e">
        <f t="shared" si="5"/>
        <v>#DIV/0!</v>
      </c>
      <c r="J38" s="128" t="e">
        <f t="shared" si="6"/>
        <v>#DIV/0!</v>
      </c>
      <c r="K38" s="128" t="e">
        <f t="shared" si="11"/>
        <v>#DIV/0!</v>
      </c>
      <c r="L38" s="128" t="e">
        <f t="shared" si="12"/>
        <v>#DIV/0!</v>
      </c>
    </row>
    <row r="39" spans="1:12" s="95" customFormat="1" hidden="1" x14ac:dyDescent="0.2">
      <c r="A39" s="121"/>
      <c r="B39" s="129" t="s">
        <v>51</v>
      </c>
      <c r="C39" s="131"/>
      <c r="D39" s="131"/>
      <c r="E39" s="131"/>
      <c r="F39" s="131"/>
      <c r="G39" s="131"/>
      <c r="H39" s="131"/>
      <c r="I39" s="128" t="e">
        <f t="shared" si="5"/>
        <v>#DIV/0!</v>
      </c>
      <c r="J39" s="128" t="e">
        <f t="shared" si="6"/>
        <v>#DIV/0!</v>
      </c>
      <c r="K39" s="128" t="e">
        <f t="shared" si="11"/>
        <v>#DIV/0!</v>
      </c>
      <c r="L39" s="128" t="e">
        <f t="shared" si="12"/>
        <v>#DIV/0!</v>
      </c>
    </row>
    <row r="40" spans="1:12" s="95" customFormat="1" hidden="1" x14ac:dyDescent="0.2">
      <c r="A40" s="121"/>
      <c r="B40" s="129" t="s">
        <v>54</v>
      </c>
      <c r="C40" s="131">
        <v>0</v>
      </c>
      <c r="D40" s="131">
        <v>0</v>
      </c>
      <c r="E40" s="131">
        <v>0</v>
      </c>
      <c r="F40" s="131">
        <v>0</v>
      </c>
      <c r="G40" s="131">
        <v>0</v>
      </c>
      <c r="H40" s="131">
        <v>0</v>
      </c>
      <c r="I40" s="128" t="e">
        <f t="shared" si="5"/>
        <v>#DIV/0!</v>
      </c>
      <c r="J40" s="128" t="e">
        <f t="shared" si="6"/>
        <v>#DIV/0!</v>
      </c>
      <c r="K40" s="128" t="e">
        <f t="shared" si="11"/>
        <v>#DIV/0!</v>
      </c>
      <c r="L40" s="128" t="e">
        <f t="shared" si="12"/>
        <v>#DIV/0!</v>
      </c>
    </row>
    <row r="41" spans="1:12" s="95" customFormat="1" hidden="1" x14ac:dyDescent="0.2">
      <c r="A41" s="121"/>
      <c r="B41" s="129" t="s">
        <v>55</v>
      </c>
      <c r="C41" s="131">
        <v>0</v>
      </c>
      <c r="D41" s="131">
        <v>0</v>
      </c>
      <c r="E41" s="131">
        <v>0</v>
      </c>
      <c r="F41" s="131">
        <v>0</v>
      </c>
      <c r="G41" s="131">
        <v>0</v>
      </c>
      <c r="H41" s="131">
        <v>0</v>
      </c>
      <c r="I41" s="128" t="e">
        <f t="shared" si="5"/>
        <v>#DIV/0!</v>
      </c>
      <c r="J41" s="128" t="e">
        <f t="shared" si="6"/>
        <v>#DIV/0!</v>
      </c>
      <c r="K41" s="128" t="e">
        <f t="shared" si="11"/>
        <v>#DIV/0!</v>
      </c>
      <c r="L41" s="128" t="e">
        <f t="shared" si="12"/>
        <v>#DIV/0!</v>
      </c>
    </row>
    <row r="42" spans="1:12" s="95" customFormat="1" hidden="1" x14ac:dyDescent="0.2">
      <c r="A42" s="121"/>
      <c r="B42" s="129" t="s">
        <v>56</v>
      </c>
      <c r="C42" s="131"/>
      <c r="D42" s="131"/>
      <c r="E42" s="131"/>
      <c r="F42" s="131"/>
      <c r="G42" s="131"/>
      <c r="H42" s="131"/>
      <c r="I42" s="128" t="e">
        <f t="shared" si="5"/>
        <v>#DIV/0!</v>
      </c>
      <c r="J42" s="128" t="e">
        <f t="shared" si="6"/>
        <v>#DIV/0!</v>
      </c>
      <c r="K42" s="128" t="e">
        <f t="shared" si="11"/>
        <v>#DIV/0!</v>
      </c>
      <c r="L42" s="128" t="e">
        <f t="shared" si="12"/>
        <v>#DIV/0!</v>
      </c>
    </row>
    <row r="43" spans="1:12" s="95" customFormat="1" hidden="1" x14ac:dyDescent="0.2">
      <c r="A43" s="121"/>
      <c r="B43" s="129" t="s">
        <v>57</v>
      </c>
      <c r="C43" s="131"/>
      <c r="D43" s="131"/>
      <c r="E43" s="131"/>
      <c r="F43" s="131"/>
      <c r="G43" s="131"/>
      <c r="H43" s="131"/>
      <c r="I43" s="128" t="e">
        <f t="shared" si="5"/>
        <v>#DIV/0!</v>
      </c>
      <c r="J43" s="128" t="e">
        <f t="shared" si="6"/>
        <v>#DIV/0!</v>
      </c>
      <c r="K43" s="128" t="e">
        <f t="shared" si="11"/>
        <v>#DIV/0!</v>
      </c>
      <c r="L43" s="128" t="e">
        <f t="shared" si="12"/>
        <v>#DIV/0!</v>
      </c>
    </row>
    <row r="44" spans="1:12" hidden="1" x14ac:dyDescent="0.2">
      <c r="A44" s="120">
        <v>6</v>
      </c>
      <c r="B44" s="126" t="s">
        <v>58</v>
      </c>
      <c r="C44" s="127"/>
      <c r="D44" s="127"/>
      <c r="E44" s="127"/>
      <c r="F44" s="127"/>
      <c r="G44" s="127"/>
      <c r="H44" s="127"/>
      <c r="I44" s="128" t="e">
        <f t="shared" si="5"/>
        <v>#DIV/0!</v>
      </c>
      <c r="J44" s="128" t="e">
        <f t="shared" si="6"/>
        <v>#DIV/0!</v>
      </c>
      <c r="K44" s="128" t="e">
        <f t="shared" si="11"/>
        <v>#DIV/0!</v>
      </c>
      <c r="L44" s="128" t="e">
        <f t="shared" si="12"/>
        <v>#DIV/0!</v>
      </c>
    </row>
    <row r="45" spans="1:12" x14ac:dyDescent="0.2">
      <c r="A45" s="120">
        <v>6</v>
      </c>
      <c r="B45" s="132" t="s">
        <v>59</v>
      </c>
      <c r="C45" s="127"/>
      <c r="D45" s="127">
        <f>C45</f>
        <v>0</v>
      </c>
      <c r="E45" s="127"/>
      <c r="F45" s="127">
        <f>E45</f>
        <v>0</v>
      </c>
      <c r="G45" s="127"/>
      <c r="H45" s="127">
        <f>G45</f>
        <v>0</v>
      </c>
      <c r="I45" s="128"/>
      <c r="J45" s="128"/>
      <c r="K45" s="128"/>
      <c r="L45" s="128"/>
    </row>
    <row r="46" spans="1:12" x14ac:dyDescent="0.2">
      <c r="A46" s="120">
        <v>7</v>
      </c>
      <c r="B46" s="126" t="s">
        <v>60</v>
      </c>
      <c r="C46" s="127"/>
      <c r="D46" s="127"/>
      <c r="E46" s="127"/>
      <c r="F46" s="127"/>
      <c r="G46" s="127"/>
      <c r="H46" s="127"/>
      <c r="I46" s="128"/>
      <c r="J46" s="128"/>
      <c r="K46" s="128"/>
      <c r="L46" s="128"/>
    </row>
    <row r="47" spans="1:12" s="95" customFormat="1" x14ac:dyDescent="0.2">
      <c r="A47" s="121"/>
      <c r="B47" s="133" t="s">
        <v>61</v>
      </c>
      <c r="C47" s="131"/>
      <c r="D47" s="131"/>
      <c r="E47" s="131"/>
      <c r="F47" s="131"/>
      <c r="G47" s="131"/>
      <c r="H47" s="131"/>
      <c r="I47" s="128"/>
      <c r="J47" s="128"/>
      <c r="K47" s="128"/>
      <c r="L47" s="128"/>
    </row>
    <row r="48" spans="1:12" x14ac:dyDescent="0.2">
      <c r="A48" s="120">
        <v>8</v>
      </c>
      <c r="B48" s="132" t="s">
        <v>62</v>
      </c>
      <c r="C48" s="127">
        <v>3500</v>
      </c>
      <c r="D48" s="127">
        <f>C48</f>
        <v>3500</v>
      </c>
      <c r="E48" s="127">
        <v>3500</v>
      </c>
      <c r="F48" s="127">
        <f>E48</f>
        <v>3500</v>
      </c>
      <c r="G48" s="127">
        <f>3500+69800</f>
        <v>73300</v>
      </c>
      <c r="H48" s="127">
        <v>3500</v>
      </c>
      <c r="I48" s="128">
        <f t="shared" si="5"/>
        <v>100</v>
      </c>
      <c r="J48" s="128">
        <f t="shared" si="6"/>
        <v>100</v>
      </c>
      <c r="K48" s="128">
        <f>E48/G48*100</f>
        <v>4.7748976807639831</v>
      </c>
      <c r="L48" s="128">
        <f t="shared" si="12"/>
        <v>100</v>
      </c>
    </row>
    <row r="49" spans="1:12" s="95" customFormat="1" hidden="1" x14ac:dyDescent="0.2">
      <c r="A49" s="121"/>
      <c r="B49" s="133" t="s">
        <v>61</v>
      </c>
      <c r="C49" s="131"/>
      <c r="D49" s="131"/>
      <c r="E49" s="131"/>
      <c r="F49" s="131"/>
      <c r="G49" s="131"/>
      <c r="H49" s="131"/>
      <c r="I49" s="128" t="e">
        <f t="shared" si="5"/>
        <v>#DIV/0!</v>
      </c>
      <c r="J49" s="128" t="e">
        <f t="shared" si="6"/>
        <v>#DIV/0!</v>
      </c>
      <c r="K49" s="128" t="e">
        <f t="shared" si="11"/>
        <v>#DIV/0!</v>
      </c>
      <c r="L49" s="128" t="e">
        <f t="shared" si="12"/>
        <v>#DIV/0!</v>
      </c>
    </row>
    <row r="50" spans="1:12" s="95" customFormat="1" hidden="1" x14ac:dyDescent="0.2">
      <c r="A50" s="121"/>
      <c r="B50" s="133" t="s">
        <v>63</v>
      </c>
      <c r="C50" s="131"/>
      <c r="D50" s="131"/>
      <c r="E50" s="131"/>
      <c r="F50" s="131"/>
      <c r="G50" s="131"/>
      <c r="H50" s="131"/>
      <c r="I50" s="128" t="e">
        <f t="shared" si="5"/>
        <v>#DIV/0!</v>
      </c>
      <c r="J50" s="128" t="e">
        <f t="shared" si="6"/>
        <v>#DIV/0!</v>
      </c>
      <c r="K50" s="128" t="e">
        <f t="shared" si="11"/>
        <v>#DIV/0!</v>
      </c>
      <c r="L50" s="128" t="e">
        <f t="shared" si="12"/>
        <v>#DIV/0!</v>
      </c>
    </row>
    <row r="51" spans="1:12" ht="14.25" hidden="1" customHeight="1" x14ac:dyDescent="0.2">
      <c r="A51" s="120">
        <v>10</v>
      </c>
      <c r="B51" s="126" t="s">
        <v>64</v>
      </c>
      <c r="C51" s="127"/>
      <c r="D51" s="127"/>
      <c r="E51" s="127"/>
      <c r="F51" s="127"/>
      <c r="G51" s="127"/>
      <c r="H51" s="127"/>
      <c r="I51" s="128" t="e">
        <f t="shared" si="5"/>
        <v>#DIV/0!</v>
      </c>
      <c r="J51" s="128" t="e">
        <f t="shared" si="6"/>
        <v>#DIV/0!</v>
      </c>
      <c r="K51" s="128" t="e">
        <f t="shared" si="11"/>
        <v>#DIV/0!</v>
      </c>
      <c r="L51" s="128" t="e">
        <f t="shared" si="12"/>
        <v>#DIV/0!</v>
      </c>
    </row>
    <row r="52" spans="1:12" hidden="1" x14ac:dyDescent="0.2">
      <c r="A52" s="120">
        <v>11</v>
      </c>
      <c r="B52" s="126" t="s">
        <v>65</v>
      </c>
      <c r="C52" s="127"/>
      <c r="D52" s="127"/>
      <c r="E52" s="127"/>
      <c r="F52" s="127"/>
      <c r="G52" s="127"/>
      <c r="H52" s="127"/>
      <c r="I52" s="128" t="e">
        <f t="shared" si="5"/>
        <v>#DIV/0!</v>
      </c>
      <c r="J52" s="128" t="e">
        <f t="shared" si="6"/>
        <v>#DIV/0!</v>
      </c>
      <c r="K52" s="128" t="e">
        <f t="shared" si="11"/>
        <v>#DIV/0!</v>
      </c>
      <c r="L52" s="128" t="e">
        <f t="shared" si="12"/>
        <v>#DIV/0!</v>
      </c>
    </row>
    <row r="53" spans="1:12" x14ac:dyDescent="0.2">
      <c r="A53" s="120">
        <v>9</v>
      </c>
      <c r="B53" s="126" t="s">
        <v>66</v>
      </c>
      <c r="C53" s="127"/>
      <c r="D53" s="127"/>
      <c r="E53" s="127"/>
      <c r="F53" s="127"/>
      <c r="G53" s="127"/>
      <c r="H53" s="127"/>
      <c r="I53" s="128"/>
      <c r="J53" s="128"/>
      <c r="K53" s="128"/>
      <c r="L53" s="128"/>
    </row>
    <row r="54" spans="1:12" x14ac:dyDescent="0.2">
      <c r="A54" s="120">
        <v>10</v>
      </c>
      <c r="B54" s="126" t="s">
        <v>67</v>
      </c>
      <c r="C54" s="127">
        <f t="shared" ref="C54:E54" si="13">SUM(C55:C58)</f>
        <v>5700</v>
      </c>
      <c r="D54" s="127">
        <f>SUM(D55:D58)</f>
        <v>2300</v>
      </c>
      <c r="E54" s="127">
        <f t="shared" si="13"/>
        <v>5700</v>
      </c>
      <c r="F54" s="127">
        <f>SUM(F55:F58)</f>
        <v>2300</v>
      </c>
      <c r="G54" s="127">
        <f t="shared" ref="G54" si="14">SUM(G55:G58)</f>
        <v>5700</v>
      </c>
      <c r="H54" s="127">
        <f>SUM(H55:H58)</f>
        <v>2300</v>
      </c>
      <c r="I54" s="128">
        <f t="shared" si="5"/>
        <v>100</v>
      </c>
      <c r="J54" s="128">
        <f t="shared" si="6"/>
        <v>100</v>
      </c>
      <c r="K54" s="128">
        <f t="shared" si="11"/>
        <v>100</v>
      </c>
      <c r="L54" s="128">
        <f t="shared" si="12"/>
        <v>100</v>
      </c>
    </row>
    <row r="55" spans="1:12" x14ac:dyDescent="0.2">
      <c r="A55" s="120"/>
      <c r="B55" s="126" t="s">
        <v>68</v>
      </c>
      <c r="C55" s="127">
        <v>2300</v>
      </c>
      <c r="D55" s="127">
        <f>C55</f>
        <v>2300</v>
      </c>
      <c r="E55" s="127">
        <v>2300</v>
      </c>
      <c r="F55" s="127">
        <f>E55</f>
        <v>2300</v>
      </c>
      <c r="G55" s="127">
        <v>2300</v>
      </c>
      <c r="H55" s="127">
        <f>G55</f>
        <v>2300</v>
      </c>
      <c r="I55" s="128">
        <f t="shared" si="5"/>
        <v>100</v>
      </c>
      <c r="J55" s="128">
        <f t="shared" si="6"/>
        <v>100</v>
      </c>
      <c r="K55" s="128">
        <f t="shared" si="11"/>
        <v>100</v>
      </c>
      <c r="L55" s="128">
        <f t="shared" si="12"/>
        <v>100</v>
      </c>
    </row>
    <row r="56" spans="1:12" x14ac:dyDescent="0.2">
      <c r="A56" s="120"/>
      <c r="B56" s="126" t="s">
        <v>69</v>
      </c>
      <c r="C56" s="127"/>
      <c r="D56" s="127"/>
      <c r="E56" s="127"/>
      <c r="F56" s="127"/>
      <c r="G56" s="127"/>
      <c r="H56" s="127"/>
      <c r="I56" s="128"/>
      <c r="J56" s="128"/>
      <c r="K56" s="128"/>
      <c r="L56" s="128"/>
    </row>
    <row r="57" spans="1:12" s="95" customFormat="1" x14ac:dyDescent="0.2">
      <c r="A57" s="121"/>
      <c r="B57" s="129" t="s">
        <v>201</v>
      </c>
      <c r="C57" s="131">
        <v>400</v>
      </c>
      <c r="D57" s="131"/>
      <c r="E57" s="131">
        <v>400</v>
      </c>
      <c r="F57" s="131"/>
      <c r="G57" s="131">
        <v>400</v>
      </c>
      <c r="H57" s="131"/>
      <c r="I57" s="128">
        <f t="shared" si="5"/>
        <v>100</v>
      </c>
      <c r="J57" s="128"/>
      <c r="K57" s="128">
        <f t="shared" si="11"/>
        <v>100</v>
      </c>
      <c r="L57" s="128"/>
    </row>
    <row r="58" spans="1:12" s="95" customFormat="1" x14ac:dyDescent="0.2">
      <c r="A58" s="121"/>
      <c r="B58" s="129" t="s">
        <v>70</v>
      </c>
      <c r="C58" s="131">
        <v>3000</v>
      </c>
      <c r="D58" s="131"/>
      <c r="E58" s="131">
        <v>3000</v>
      </c>
      <c r="F58" s="131"/>
      <c r="G58" s="131">
        <v>3000</v>
      </c>
      <c r="H58" s="131"/>
      <c r="I58" s="128">
        <f t="shared" si="5"/>
        <v>100</v>
      </c>
      <c r="J58" s="128"/>
      <c r="K58" s="128">
        <f t="shared" si="11"/>
        <v>100</v>
      </c>
      <c r="L58" s="128"/>
    </row>
    <row r="59" spans="1:12" ht="37.5" hidden="1" x14ac:dyDescent="0.2">
      <c r="A59" s="96">
        <v>17</v>
      </c>
      <c r="B59" s="97" t="s">
        <v>71</v>
      </c>
      <c r="C59" s="98"/>
      <c r="D59" s="98"/>
      <c r="E59" s="98"/>
      <c r="F59" s="98"/>
      <c r="G59" s="98"/>
      <c r="H59" s="98"/>
      <c r="I59" s="98"/>
      <c r="J59" s="98"/>
      <c r="K59" s="98"/>
      <c r="L59" s="98"/>
    </row>
    <row r="60" spans="1:12" hidden="1" x14ac:dyDescent="0.2">
      <c r="A60" s="92">
        <v>18</v>
      </c>
      <c r="B60" s="93" t="s">
        <v>72</v>
      </c>
      <c r="C60" s="94"/>
      <c r="D60" s="94"/>
      <c r="E60" s="94"/>
      <c r="F60" s="94"/>
      <c r="G60" s="94"/>
      <c r="H60" s="94"/>
      <c r="I60" s="94"/>
      <c r="J60" s="94"/>
      <c r="K60" s="94"/>
      <c r="L60" s="94"/>
    </row>
    <row r="61" spans="1:12" ht="56.25" hidden="1" x14ac:dyDescent="0.2">
      <c r="A61" s="92">
        <v>19</v>
      </c>
      <c r="B61" s="93" t="s">
        <v>73</v>
      </c>
      <c r="C61" s="94"/>
      <c r="D61" s="94"/>
      <c r="E61" s="94"/>
      <c r="F61" s="94"/>
      <c r="G61" s="94"/>
      <c r="H61" s="94"/>
      <c r="I61" s="94"/>
      <c r="J61" s="94"/>
      <c r="K61" s="94"/>
      <c r="L61" s="94"/>
    </row>
    <row r="62" spans="1:12" hidden="1" x14ac:dyDescent="0.2">
      <c r="A62" s="92">
        <v>20</v>
      </c>
      <c r="B62" s="93" t="s">
        <v>74</v>
      </c>
      <c r="C62" s="94"/>
      <c r="D62" s="94"/>
      <c r="E62" s="94"/>
      <c r="F62" s="94"/>
      <c r="G62" s="94"/>
      <c r="H62" s="94"/>
      <c r="I62" s="94"/>
      <c r="J62" s="94"/>
      <c r="K62" s="94"/>
      <c r="L62" s="94"/>
    </row>
    <row r="63" spans="1:12" s="87" customFormat="1" hidden="1" x14ac:dyDescent="0.2">
      <c r="A63" s="88" t="s">
        <v>75</v>
      </c>
      <c r="B63" s="89" t="s">
        <v>6</v>
      </c>
      <c r="C63" s="90"/>
      <c r="D63" s="90"/>
      <c r="E63" s="90"/>
      <c r="F63" s="90"/>
      <c r="G63" s="90"/>
      <c r="H63" s="90"/>
      <c r="I63" s="90"/>
      <c r="J63" s="90"/>
      <c r="K63" s="94"/>
      <c r="L63" s="94"/>
    </row>
    <row r="64" spans="1:12" hidden="1" x14ac:dyDescent="0.2">
      <c r="A64" s="88" t="s">
        <v>76</v>
      </c>
      <c r="B64" s="89" t="s">
        <v>77</v>
      </c>
      <c r="C64" s="94"/>
      <c r="D64" s="94"/>
      <c r="E64" s="94"/>
      <c r="F64" s="94"/>
      <c r="G64" s="94"/>
      <c r="H64" s="94"/>
      <c r="I64" s="94"/>
      <c r="J64" s="94"/>
      <c r="K64" s="94"/>
      <c r="L64" s="94"/>
    </row>
    <row r="65" spans="1:12" hidden="1" x14ac:dyDescent="0.2">
      <c r="A65" s="92">
        <v>1</v>
      </c>
      <c r="B65" s="93" t="s">
        <v>78</v>
      </c>
      <c r="C65" s="94"/>
      <c r="D65" s="94"/>
      <c r="E65" s="94"/>
      <c r="F65" s="94"/>
      <c r="G65" s="94"/>
      <c r="H65" s="94"/>
      <c r="I65" s="94"/>
      <c r="J65" s="94"/>
      <c r="K65" s="94"/>
      <c r="L65" s="94"/>
    </row>
    <row r="66" spans="1:12" hidden="1" x14ac:dyDescent="0.2">
      <c r="A66" s="92">
        <v>2</v>
      </c>
      <c r="B66" s="93" t="s">
        <v>79</v>
      </c>
      <c r="C66" s="94"/>
      <c r="D66" s="94"/>
      <c r="E66" s="94"/>
      <c r="F66" s="94"/>
      <c r="G66" s="94"/>
      <c r="H66" s="94"/>
      <c r="I66" s="94"/>
      <c r="J66" s="94"/>
      <c r="K66" s="94"/>
      <c r="L66" s="94"/>
    </row>
    <row r="67" spans="1:12" hidden="1" x14ac:dyDescent="0.2">
      <c r="A67" s="92">
        <v>3</v>
      </c>
      <c r="B67" s="93" t="s">
        <v>80</v>
      </c>
      <c r="C67" s="94"/>
      <c r="D67" s="94"/>
      <c r="E67" s="94"/>
      <c r="F67" s="94"/>
      <c r="G67" s="94"/>
      <c r="H67" s="94"/>
      <c r="I67" s="94"/>
      <c r="J67" s="94"/>
      <c r="K67" s="94"/>
      <c r="L67" s="94"/>
    </row>
    <row r="68" spans="1:12" hidden="1" x14ac:dyDescent="0.2">
      <c r="A68" s="92">
        <v>4</v>
      </c>
      <c r="B68" s="93" t="s">
        <v>81</v>
      </c>
      <c r="C68" s="94"/>
      <c r="D68" s="94"/>
      <c r="E68" s="94"/>
      <c r="F68" s="94"/>
      <c r="G68" s="94"/>
      <c r="H68" s="94"/>
      <c r="I68" s="94"/>
      <c r="J68" s="94"/>
      <c r="K68" s="94"/>
      <c r="L68" s="94"/>
    </row>
    <row r="69" spans="1:12" hidden="1" x14ac:dyDescent="0.2">
      <c r="A69" s="92">
        <v>5</v>
      </c>
      <c r="B69" s="93" t="s">
        <v>82</v>
      </c>
      <c r="C69" s="94"/>
      <c r="D69" s="94"/>
      <c r="E69" s="94"/>
      <c r="F69" s="94"/>
      <c r="G69" s="94"/>
      <c r="H69" s="94"/>
      <c r="I69" s="94"/>
      <c r="J69" s="94"/>
      <c r="K69" s="94"/>
      <c r="L69" s="94"/>
    </row>
    <row r="70" spans="1:12" ht="15" hidden="1" customHeight="1" x14ac:dyDescent="0.2">
      <c r="A70" s="92">
        <v>6</v>
      </c>
      <c r="B70" s="93" t="s">
        <v>83</v>
      </c>
      <c r="C70" s="94"/>
      <c r="D70" s="94"/>
      <c r="E70" s="94"/>
      <c r="F70" s="94"/>
      <c r="G70" s="94"/>
      <c r="H70" s="94"/>
      <c r="I70" s="94"/>
      <c r="J70" s="94"/>
      <c r="K70" s="94"/>
      <c r="L70" s="94"/>
    </row>
    <row r="71" spans="1:12" ht="15" hidden="1" customHeight="1" x14ac:dyDescent="0.2">
      <c r="A71" s="99" t="s">
        <v>84</v>
      </c>
      <c r="B71" s="100" t="s">
        <v>85</v>
      </c>
      <c r="C71" s="101"/>
      <c r="D71" s="101"/>
      <c r="E71" s="101"/>
      <c r="F71" s="101"/>
      <c r="G71" s="101"/>
      <c r="H71" s="101"/>
      <c r="I71" s="101"/>
      <c r="J71" s="101"/>
      <c r="K71" s="101"/>
      <c r="L71" s="101"/>
    </row>
    <row r="72" spans="1:12" ht="15" customHeight="1" x14ac:dyDescent="0.2">
      <c r="A72" s="102" t="s">
        <v>86</v>
      </c>
    </row>
    <row r="73" spans="1:12" x14ac:dyDescent="0.2">
      <c r="A73" s="220" t="s">
        <v>219</v>
      </c>
      <c r="B73" s="220"/>
      <c r="C73" s="220"/>
      <c r="D73" s="220"/>
      <c r="E73" s="220"/>
      <c r="F73" s="220"/>
      <c r="G73" s="220"/>
      <c r="H73" s="220"/>
      <c r="I73" s="220"/>
      <c r="J73" s="220"/>
      <c r="K73" s="220"/>
      <c r="L73" s="220"/>
    </row>
    <row r="74" spans="1:12" x14ac:dyDescent="0.2">
      <c r="A74" s="220" t="s">
        <v>220</v>
      </c>
      <c r="B74" s="220"/>
      <c r="C74" s="220"/>
      <c r="D74" s="220"/>
      <c r="E74" s="220"/>
      <c r="F74" s="220"/>
      <c r="G74" s="220"/>
      <c r="H74" s="220"/>
      <c r="I74" s="220"/>
      <c r="J74" s="220"/>
      <c r="K74" s="220"/>
      <c r="L74" s="220"/>
    </row>
    <row r="75" spans="1:12" x14ac:dyDescent="0.2">
      <c r="A75" s="220" t="s">
        <v>221</v>
      </c>
      <c r="B75" s="220"/>
      <c r="C75" s="220"/>
      <c r="D75" s="220"/>
      <c r="E75" s="220"/>
      <c r="F75" s="220"/>
      <c r="G75" s="220"/>
      <c r="H75" s="220"/>
      <c r="I75" s="220"/>
      <c r="J75" s="220"/>
      <c r="K75" s="220"/>
      <c r="L75" s="220"/>
    </row>
    <row r="76" spans="1:12" x14ac:dyDescent="0.2">
      <c r="A76" s="220" t="s">
        <v>87</v>
      </c>
      <c r="B76" s="220"/>
      <c r="C76" s="220"/>
      <c r="D76" s="220"/>
      <c r="E76" s="220"/>
      <c r="F76" s="220"/>
      <c r="G76" s="220"/>
      <c r="H76" s="220"/>
      <c r="I76" s="220"/>
      <c r="J76" s="220"/>
      <c r="K76" s="220"/>
      <c r="L76" s="220"/>
    </row>
    <row r="77" spans="1:12" x14ac:dyDescent="0.2">
      <c r="A77" s="220" t="s">
        <v>88</v>
      </c>
      <c r="B77" s="220"/>
      <c r="C77" s="220"/>
      <c r="D77" s="220"/>
      <c r="E77" s="220"/>
      <c r="F77" s="220"/>
      <c r="G77" s="220"/>
      <c r="H77" s="220"/>
      <c r="I77" s="220"/>
      <c r="J77" s="220"/>
      <c r="K77" s="220"/>
      <c r="L77" s="220"/>
    </row>
  </sheetData>
  <mergeCells count="17">
    <mergeCell ref="A77:L77"/>
    <mergeCell ref="K6:L6"/>
    <mergeCell ref="A73:L73"/>
    <mergeCell ref="A74:L74"/>
    <mergeCell ref="A75:L75"/>
    <mergeCell ref="I6:J6"/>
    <mergeCell ref="G5:H6"/>
    <mergeCell ref="E5:F6"/>
    <mergeCell ref="C5:D6"/>
    <mergeCell ref="B5:B7"/>
    <mergeCell ref="K1:L1"/>
    <mergeCell ref="A2:L2"/>
    <mergeCell ref="A3:L3"/>
    <mergeCell ref="K4:L4"/>
    <mergeCell ref="A76:L76"/>
    <mergeCell ref="I5:L5"/>
    <mergeCell ref="A5:A7"/>
  </mergeCells>
  <phoneticPr fontId="3" type="noConversion"/>
  <printOptions horizontalCentered="1"/>
  <pageMargins left="0.24" right="0.15748031496063" top="0.2" bottom="0.52" header="0.28999999999999998" footer="0.2"/>
  <pageSetup paperSize="9" scale="70" orientation="landscape" verticalDpi="0" r:id="rId1"/>
  <headerFooter alignWithMargins="0">
    <oddFooter>&amp;F</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workbookViewId="0">
      <selection activeCell="D9" sqref="D9"/>
    </sheetView>
  </sheetViews>
  <sheetFormatPr defaultColWidth="9.140625" defaultRowHeight="18.75" x14ac:dyDescent="0.3"/>
  <cols>
    <col min="1" max="1" width="5.5703125" style="22" customWidth="1"/>
    <col min="2" max="2" width="49.42578125" style="22" customWidth="1"/>
    <col min="3" max="3" width="14.7109375" style="22" customWidth="1"/>
    <col min="4" max="4" width="14.7109375" style="104" customWidth="1"/>
    <col min="5" max="5" width="14.7109375" style="22" customWidth="1"/>
    <col min="6" max="7" width="14.5703125" style="22" customWidth="1"/>
    <col min="8" max="8" width="14" style="22" customWidth="1"/>
    <col min="9" max="9" width="14.28515625" style="22" customWidth="1"/>
    <col min="10" max="10" width="9.140625" style="22"/>
    <col min="11" max="11" width="12.28515625" style="22" bestFit="1" customWidth="1"/>
    <col min="12" max="16384" width="9.140625" style="22"/>
  </cols>
  <sheetData>
    <row r="1" spans="1:11" x14ac:dyDescent="0.3">
      <c r="E1" s="60"/>
      <c r="F1" s="60"/>
      <c r="G1" s="60"/>
      <c r="H1" s="208" t="s">
        <v>289</v>
      </c>
      <c r="I1" s="208"/>
    </row>
    <row r="2" spans="1:11" ht="18.75" customHeight="1" x14ac:dyDescent="0.3">
      <c r="A2" s="208" t="s">
        <v>257</v>
      </c>
      <c r="B2" s="208"/>
      <c r="C2" s="208"/>
      <c r="D2" s="208"/>
      <c r="E2" s="208"/>
      <c r="F2" s="208"/>
      <c r="G2" s="208"/>
      <c r="H2" s="208"/>
      <c r="I2" s="208"/>
    </row>
    <row r="3" spans="1:11" x14ac:dyDescent="0.3">
      <c r="A3" s="215" t="str">
        <f>'bieu 12 (PL05)'!A3:I3</f>
        <v>(Kèm theo Tờ trình số:         /TTr-UBND ngày      tháng 8 năm 2024 của UBND huyện Phụng Hiệp)</v>
      </c>
      <c r="B3" s="215"/>
      <c r="C3" s="215"/>
      <c r="D3" s="215"/>
      <c r="E3" s="215"/>
      <c r="F3" s="215"/>
      <c r="G3" s="215"/>
      <c r="H3" s="215"/>
      <c r="I3" s="215"/>
    </row>
    <row r="4" spans="1:11" ht="18.75" customHeight="1" x14ac:dyDescent="0.3">
      <c r="D4" s="105"/>
      <c r="E4" s="106"/>
      <c r="F4" s="106"/>
      <c r="G4" s="106"/>
      <c r="H4" s="215" t="s">
        <v>25</v>
      </c>
      <c r="I4" s="215"/>
    </row>
    <row r="5" spans="1:11" s="23" customFormat="1" ht="63.6" customHeight="1" x14ac:dyDescent="0.3">
      <c r="A5" s="212" t="s">
        <v>3</v>
      </c>
      <c r="B5" s="212" t="s">
        <v>21</v>
      </c>
      <c r="C5" s="222" t="s">
        <v>270</v>
      </c>
      <c r="D5" s="222" t="s">
        <v>272</v>
      </c>
      <c r="E5" s="222" t="s">
        <v>271</v>
      </c>
      <c r="F5" s="224" t="s">
        <v>277</v>
      </c>
      <c r="G5" s="225"/>
      <c r="H5" s="224" t="s">
        <v>278</v>
      </c>
      <c r="I5" s="225"/>
    </row>
    <row r="6" spans="1:11" s="47" customFormat="1" ht="37.5" x14ac:dyDescent="0.3">
      <c r="A6" s="212"/>
      <c r="B6" s="212"/>
      <c r="C6" s="223"/>
      <c r="D6" s="223"/>
      <c r="E6" s="223"/>
      <c r="F6" s="1" t="s">
        <v>20</v>
      </c>
      <c r="G6" s="2" t="s">
        <v>24</v>
      </c>
      <c r="H6" s="1" t="s">
        <v>20</v>
      </c>
      <c r="I6" s="2" t="s">
        <v>24</v>
      </c>
    </row>
    <row r="7" spans="1:11" s="119" customFormat="1" ht="19.5" x14ac:dyDescent="0.35">
      <c r="A7" s="109" t="s">
        <v>0</v>
      </c>
      <c r="B7" s="109" t="s">
        <v>1</v>
      </c>
      <c r="C7" s="110" t="s">
        <v>22</v>
      </c>
      <c r="D7" s="110" t="s">
        <v>23</v>
      </c>
      <c r="E7" s="110" t="s">
        <v>118</v>
      </c>
      <c r="F7" s="110" t="s">
        <v>11</v>
      </c>
      <c r="G7" s="110" t="s">
        <v>18</v>
      </c>
      <c r="H7" s="110" t="s">
        <v>19</v>
      </c>
      <c r="I7" s="110" t="s">
        <v>98</v>
      </c>
      <c r="K7" s="161"/>
    </row>
    <row r="8" spans="1:11" x14ac:dyDescent="0.3">
      <c r="A8" s="48"/>
      <c r="B8" s="113" t="s">
        <v>89</v>
      </c>
      <c r="C8" s="180">
        <f>C9+C10+C33-1</f>
        <v>764162</v>
      </c>
      <c r="D8" s="134">
        <f>D9+D10+D33</f>
        <v>948437.62</v>
      </c>
      <c r="E8" s="180">
        <f>E9+E10+E33</f>
        <v>952236.08349499991</v>
      </c>
      <c r="F8" s="180">
        <f>F9+F10+F33</f>
        <v>184276.12</v>
      </c>
      <c r="G8" s="181">
        <f>D8/C8*100</f>
        <v>124.11473221646719</v>
      </c>
      <c r="H8" s="49">
        <f>H9+H10+H33</f>
        <v>3798.1634949999989</v>
      </c>
      <c r="I8" s="135">
        <f>E8/D8*100</f>
        <v>100.40049692408869</v>
      </c>
      <c r="K8" s="159"/>
    </row>
    <row r="9" spans="1:11" s="23" customFormat="1" ht="24.75" customHeight="1" x14ac:dyDescent="0.3">
      <c r="A9" s="113" t="s">
        <v>30</v>
      </c>
      <c r="B9" s="40" t="s">
        <v>90</v>
      </c>
      <c r="C9" s="171">
        <v>65204</v>
      </c>
      <c r="D9" s="136">
        <f>'bieu 12 (PL05)'!D27</f>
        <v>92454.62</v>
      </c>
      <c r="E9" s="136">
        <f>'bieu 12 (PL05)'!E27</f>
        <v>92454.62</v>
      </c>
      <c r="F9" s="136">
        <f>D9-C9</f>
        <v>27250.619999999995</v>
      </c>
      <c r="G9" s="181">
        <f t="shared" ref="G9:G33" si="0">D9/C9*100</f>
        <v>141.79286546837616</v>
      </c>
      <c r="H9" s="137">
        <f>E9-D9</f>
        <v>0</v>
      </c>
      <c r="I9" s="135">
        <f t="shared" ref="I9:I33" si="1">E9/D9*100</f>
        <v>100</v>
      </c>
      <c r="K9" s="166"/>
    </row>
    <row r="10" spans="1:11" s="103" customFormat="1" ht="23.25" customHeight="1" x14ac:dyDescent="0.35">
      <c r="A10" s="113" t="s">
        <v>75</v>
      </c>
      <c r="B10" s="40" t="s">
        <v>91</v>
      </c>
      <c r="C10" s="180">
        <f>SUM(C11:C32)</f>
        <v>687179</v>
      </c>
      <c r="D10" s="136">
        <f>SUM(D11:D32)</f>
        <v>848911</v>
      </c>
      <c r="E10" s="136">
        <f>SUM(E11:E32)</f>
        <v>853988.26349499996</v>
      </c>
      <c r="F10" s="136">
        <f>SUM(F11:F32)+1.5</f>
        <v>161733.5</v>
      </c>
      <c r="G10" s="181">
        <f t="shared" si="0"/>
        <v>123.53564355138909</v>
      </c>
      <c r="H10" s="136">
        <f>SUM(H11:H32)</f>
        <v>5076.9634949999991</v>
      </c>
      <c r="I10" s="135">
        <f t="shared" si="1"/>
        <v>100.59809137765913</v>
      </c>
    </row>
    <row r="11" spans="1:11" ht="20.100000000000001" customHeight="1" x14ac:dyDescent="0.3">
      <c r="A11" s="42" t="s">
        <v>22</v>
      </c>
      <c r="B11" s="35" t="s">
        <v>92</v>
      </c>
      <c r="C11" s="74">
        <v>5250</v>
      </c>
      <c r="D11" s="54">
        <v>12522</v>
      </c>
      <c r="E11" s="75">
        <f>'bieu 17(09)'!E74</f>
        <v>14084.812</v>
      </c>
      <c r="F11" s="144">
        <f t="shared" ref="F11:F33" si="2">D11-C11</f>
        <v>7272</v>
      </c>
      <c r="G11" s="184">
        <f t="shared" si="0"/>
        <v>238.51428571428573</v>
      </c>
      <c r="H11" s="75">
        <f t="shared" ref="H11:H31" si="3">E11-D11</f>
        <v>1562.8119999999999</v>
      </c>
      <c r="I11" s="138">
        <f t="shared" si="1"/>
        <v>112.48053026673055</v>
      </c>
    </row>
    <row r="12" spans="1:11" ht="22.5" customHeight="1" x14ac:dyDescent="0.3">
      <c r="A12" s="42" t="s">
        <v>23</v>
      </c>
      <c r="B12" s="35" t="s">
        <v>93</v>
      </c>
      <c r="C12" s="74">
        <v>322</v>
      </c>
      <c r="D12" s="139">
        <v>696</v>
      </c>
      <c r="E12" s="75">
        <f>'bieu 17(09)'!E73</f>
        <v>846.79100000000005</v>
      </c>
      <c r="F12" s="144">
        <f t="shared" si="2"/>
        <v>374</v>
      </c>
      <c r="G12" s="184">
        <f t="shared" si="0"/>
        <v>216.14906832298138</v>
      </c>
      <c r="H12" s="75">
        <f t="shared" si="3"/>
        <v>150.79100000000005</v>
      </c>
      <c r="I12" s="138">
        <f t="shared" si="1"/>
        <v>121.66537356321841</v>
      </c>
    </row>
    <row r="13" spans="1:11" s="24" customFormat="1" ht="20.100000000000001" customHeight="1" x14ac:dyDescent="0.3">
      <c r="A13" s="42" t="s">
        <v>118</v>
      </c>
      <c r="B13" s="35" t="s">
        <v>94</v>
      </c>
      <c r="C13" s="74">
        <f>327207</f>
        <v>327207</v>
      </c>
      <c r="D13" s="41">
        <v>352170</v>
      </c>
      <c r="E13" s="41">
        <f>'bieu 17(09)'!E25</f>
        <v>353512.17800000001</v>
      </c>
      <c r="F13" s="144">
        <f t="shared" si="2"/>
        <v>24963</v>
      </c>
      <c r="G13" s="184">
        <f t="shared" si="0"/>
        <v>107.62911551403241</v>
      </c>
      <c r="H13" s="75">
        <f t="shared" si="3"/>
        <v>1342.1780000000144</v>
      </c>
      <c r="I13" s="138">
        <f t="shared" si="1"/>
        <v>100.38111650623279</v>
      </c>
    </row>
    <row r="14" spans="1:11" s="24" customFormat="1" ht="20.100000000000001" customHeight="1" x14ac:dyDescent="0.3">
      <c r="A14" s="42" t="s">
        <v>11</v>
      </c>
      <c r="B14" s="35" t="s">
        <v>95</v>
      </c>
      <c r="C14" s="74">
        <v>7430</v>
      </c>
      <c r="D14" s="41">
        <v>12616</v>
      </c>
      <c r="E14" s="41">
        <f>'bieu 17(09)'!E26</f>
        <v>12634.683999999997</v>
      </c>
      <c r="F14" s="144">
        <f t="shared" si="2"/>
        <v>5186</v>
      </c>
      <c r="G14" s="184">
        <f t="shared" si="0"/>
        <v>169.79811574697175</v>
      </c>
      <c r="H14" s="75">
        <f>E14-D14-0.3</f>
        <v>18.383999999997467</v>
      </c>
      <c r="I14" s="138">
        <f t="shared" si="1"/>
        <v>100.14809765377296</v>
      </c>
    </row>
    <row r="15" spans="1:11" s="24" customFormat="1" ht="20.100000000000001" customHeight="1" x14ac:dyDescent="0.3">
      <c r="A15" s="42" t="s">
        <v>18</v>
      </c>
      <c r="B15" s="35" t="s">
        <v>96</v>
      </c>
      <c r="C15" s="74">
        <v>560</v>
      </c>
      <c r="D15" s="54">
        <f>'bieu 17(09)'!D23</f>
        <v>560</v>
      </c>
      <c r="E15" s="75">
        <f>'bieu 17(09)'!E23</f>
        <v>560</v>
      </c>
      <c r="F15" s="144">
        <f t="shared" si="2"/>
        <v>0</v>
      </c>
      <c r="G15" s="184">
        <f t="shared" si="0"/>
        <v>100</v>
      </c>
      <c r="H15" s="75">
        <f t="shared" si="3"/>
        <v>0</v>
      </c>
      <c r="I15" s="138">
        <f t="shared" si="1"/>
        <v>100</v>
      </c>
    </row>
    <row r="16" spans="1:11" s="24" customFormat="1" ht="20.100000000000001" customHeight="1" x14ac:dyDescent="0.3">
      <c r="A16" s="42" t="s">
        <v>19</v>
      </c>
      <c r="B16" s="35" t="s">
        <v>97</v>
      </c>
      <c r="C16" s="74">
        <v>8828</v>
      </c>
      <c r="D16" s="54">
        <v>12478</v>
      </c>
      <c r="E16" s="75">
        <f>'bieu 17(09)'!E24</f>
        <v>12419.562</v>
      </c>
      <c r="F16" s="144">
        <f t="shared" si="2"/>
        <v>3650</v>
      </c>
      <c r="G16" s="184">
        <f t="shared" si="0"/>
        <v>141.34571816946081</v>
      </c>
      <c r="H16" s="75">
        <f t="shared" si="3"/>
        <v>-58.438000000000102</v>
      </c>
      <c r="I16" s="138">
        <f t="shared" si="1"/>
        <v>99.531671742266397</v>
      </c>
    </row>
    <row r="17" spans="1:9" s="24" customFormat="1" ht="20.100000000000001" customHeight="1" x14ac:dyDescent="0.3">
      <c r="A17" s="42" t="s">
        <v>98</v>
      </c>
      <c r="B17" s="35" t="s">
        <v>99</v>
      </c>
      <c r="C17" s="74">
        <v>2016</v>
      </c>
      <c r="D17" s="54">
        <v>3064</v>
      </c>
      <c r="E17" s="75">
        <f>'bieu 17(09)'!E16+'bieu 17(09)'!E17+'bieu 17(09)'!E19</f>
        <v>3209.5340000000001</v>
      </c>
      <c r="F17" s="144">
        <f t="shared" si="2"/>
        <v>1048</v>
      </c>
      <c r="G17" s="184">
        <f t="shared" si="0"/>
        <v>151.98412698412699</v>
      </c>
      <c r="H17" s="75">
        <f t="shared" si="3"/>
        <v>145.53400000000011</v>
      </c>
      <c r="I17" s="138">
        <f t="shared" si="1"/>
        <v>104.74980417754568</v>
      </c>
    </row>
    <row r="18" spans="1:9" s="24" customFormat="1" ht="20.100000000000001" customHeight="1" x14ac:dyDescent="0.3">
      <c r="A18" s="42" t="s">
        <v>100</v>
      </c>
      <c r="B18" s="35" t="s">
        <v>101</v>
      </c>
      <c r="C18" s="74">
        <v>1242</v>
      </c>
      <c r="D18" s="54">
        <v>1500</v>
      </c>
      <c r="E18" s="75">
        <f>'bieu 17(09)'!E18</f>
        <v>1727.806</v>
      </c>
      <c r="F18" s="144">
        <f t="shared" si="2"/>
        <v>258</v>
      </c>
      <c r="G18" s="184">
        <f t="shared" si="0"/>
        <v>120.77294685990339</v>
      </c>
      <c r="H18" s="75">
        <f t="shared" si="3"/>
        <v>227.80600000000004</v>
      </c>
      <c r="I18" s="138">
        <f t="shared" si="1"/>
        <v>115.18706666666667</v>
      </c>
    </row>
    <row r="19" spans="1:9" s="24" customFormat="1" x14ac:dyDescent="0.3">
      <c r="A19" s="42" t="s">
        <v>102</v>
      </c>
      <c r="B19" s="35" t="s">
        <v>243</v>
      </c>
      <c r="C19" s="74">
        <v>0</v>
      </c>
      <c r="D19" s="54">
        <v>3</v>
      </c>
      <c r="E19" s="75">
        <f>'bieu 17(09)'!E20</f>
        <v>3.2160000000000002</v>
      </c>
      <c r="F19" s="144">
        <f t="shared" si="2"/>
        <v>3</v>
      </c>
      <c r="G19" s="184"/>
      <c r="H19" s="75">
        <f t="shared" si="3"/>
        <v>0.21600000000000019</v>
      </c>
      <c r="I19" s="138">
        <f t="shared" si="1"/>
        <v>107.2</v>
      </c>
    </row>
    <row r="20" spans="1:9" s="24" customFormat="1" x14ac:dyDescent="0.3">
      <c r="A20" s="42" t="s">
        <v>104</v>
      </c>
      <c r="B20" s="35" t="s">
        <v>264</v>
      </c>
      <c r="C20" s="74">
        <v>0</v>
      </c>
      <c r="D20" s="54">
        <v>3750</v>
      </c>
      <c r="E20" s="75">
        <f>'bieu 17(09)'!E21</f>
        <v>3750</v>
      </c>
      <c r="F20" s="144">
        <f t="shared" si="2"/>
        <v>3750</v>
      </c>
      <c r="G20" s="184"/>
      <c r="H20" s="75">
        <f t="shared" si="3"/>
        <v>0</v>
      </c>
      <c r="I20" s="138">
        <f t="shared" si="1"/>
        <v>100</v>
      </c>
    </row>
    <row r="21" spans="1:9" s="24" customFormat="1" ht="20.100000000000001" customHeight="1" x14ac:dyDescent="0.3">
      <c r="A21" s="42" t="s">
        <v>105</v>
      </c>
      <c r="B21" s="35" t="s">
        <v>103</v>
      </c>
      <c r="C21" s="74">
        <v>61091</v>
      </c>
      <c r="D21" s="54">
        <v>56517</v>
      </c>
      <c r="E21" s="54">
        <f>'bieu 17(09)'!E9</f>
        <v>54578.696000000004</v>
      </c>
      <c r="F21" s="185">
        <f t="shared" si="2"/>
        <v>-4574</v>
      </c>
      <c r="G21" s="184">
        <f t="shared" si="0"/>
        <v>92.512808760701247</v>
      </c>
      <c r="H21" s="75">
        <f t="shared" si="3"/>
        <v>-1938.3039999999964</v>
      </c>
      <c r="I21" s="138">
        <f t="shared" si="1"/>
        <v>96.570405364757519</v>
      </c>
    </row>
    <row r="22" spans="1:9" s="24" customFormat="1" ht="56.25" x14ac:dyDescent="0.3">
      <c r="A22" s="42" t="s">
        <v>107</v>
      </c>
      <c r="B22" s="52" t="s">
        <v>222</v>
      </c>
      <c r="C22" s="183">
        <v>35813</v>
      </c>
      <c r="D22" s="139">
        <v>45204</v>
      </c>
      <c r="E22" s="139">
        <f>'bieu 17(09)'!E43-E29</f>
        <v>46977.034</v>
      </c>
      <c r="F22" s="144">
        <f t="shared" si="2"/>
        <v>9391</v>
      </c>
      <c r="G22" s="184">
        <f t="shared" si="0"/>
        <v>126.2223215033647</v>
      </c>
      <c r="H22" s="75">
        <f t="shared" si="3"/>
        <v>1773.0339999999997</v>
      </c>
      <c r="I22" s="38">
        <f t="shared" si="1"/>
        <v>103.92229448721353</v>
      </c>
    </row>
    <row r="23" spans="1:9" s="24" customFormat="1" ht="20.100000000000001" customHeight="1" x14ac:dyDescent="0.3">
      <c r="A23" s="42" t="s">
        <v>108</v>
      </c>
      <c r="B23" s="35" t="s">
        <v>106</v>
      </c>
      <c r="C23" s="74">
        <v>102722</v>
      </c>
      <c r="D23" s="54">
        <v>101951</v>
      </c>
      <c r="E23" s="75">
        <f>'bieu 17(09)'!E22</f>
        <v>102203.016</v>
      </c>
      <c r="F23" s="185">
        <f t="shared" si="2"/>
        <v>-771</v>
      </c>
      <c r="G23" s="184">
        <f t="shared" si="0"/>
        <v>99.249430501742566</v>
      </c>
      <c r="H23" s="75">
        <f>E23-D23</f>
        <v>252.01600000000326</v>
      </c>
      <c r="I23" s="138">
        <f t="shared" si="1"/>
        <v>100.24719325950701</v>
      </c>
    </row>
    <row r="24" spans="1:9" s="24" customFormat="1" ht="20.100000000000001" customHeight="1" x14ac:dyDescent="0.3">
      <c r="A24" s="42" t="s">
        <v>110</v>
      </c>
      <c r="B24" s="35" t="s">
        <v>15</v>
      </c>
      <c r="C24" s="74">
        <v>3800</v>
      </c>
      <c r="D24" s="54">
        <f>'bieu 17(09)'!D76</f>
        <v>3800</v>
      </c>
      <c r="E24" s="54">
        <f>'bieu 17(09)'!E76</f>
        <v>3800</v>
      </c>
      <c r="F24" s="144">
        <f t="shared" si="2"/>
        <v>0</v>
      </c>
      <c r="G24" s="184">
        <f t="shared" si="0"/>
        <v>100</v>
      </c>
      <c r="H24" s="75">
        <f t="shared" si="3"/>
        <v>0</v>
      </c>
      <c r="I24" s="138">
        <f t="shared" si="1"/>
        <v>100</v>
      </c>
    </row>
    <row r="25" spans="1:9" s="24" customFormat="1" ht="20.100000000000001" customHeight="1" x14ac:dyDescent="0.3">
      <c r="A25" s="42" t="s">
        <v>111</v>
      </c>
      <c r="B25" s="35" t="s">
        <v>109</v>
      </c>
      <c r="C25" s="74">
        <v>3621</v>
      </c>
      <c r="D25" s="75">
        <f>602+3019</f>
        <v>3621</v>
      </c>
      <c r="E25" s="75">
        <f>D25</f>
        <v>3621</v>
      </c>
      <c r="F25" s="144">
        <f t="shared" si="2"/>
        <v>0</v>
      </c>
      <c r="G25" s="184">
        <f t="shared" si="0"/>
        <v>100</v>
      </c>
      <c r="H25" s="75">
        <f t="shared" si="3"/>
        <v>0</v>
      </c>
      <c r="I25" s="138">
        <f t="shared" si="1"/>
        <v>100</v>
      </c>
    </row>
    <row r="26" spans="1:9" s="24" customFormat="1" ht="19.5" customHeight="1" x14ac:dyDescent="0.3">
      <c r="A26" s="42" t="s">
        <v>113</v>
      </c>
      <c r="B26" s="35" t="s">
        <v>202</v>
      </c>
      <c r="C26" s="74">
        <v>0</v>
      </c>
      <c r="D26" s="41">
        <v>33681</v>
      </c>
      <c r="E26" s="141">
        <v>33681.137000000002</v>
      </c>
      <c r="F26" s="144">
        <f t="shared" si="2"/>
        <v>33681</v>
      </c>
      <c r="G26" s="184"/>
      <c r="H26" s="75">
        <f t="shared" si="3"/>
        <v>0.13700000000244472</v>
      </c>
      <c r="I26" s="138"/>
    </row>
    <row r="27" spans="1:9" s="24" customFormat="1" ht="19.5" customHeight="1" x14ac:dyDescent="0.3">
      <c r="A27" s="42" t="s">
        <v>224</v>
      </c>
      <c r="B27" s="35" t="s">
        <v>234</v>
      </c>
      <c r="C27" s="74">
        <v>0</v>
      </c>
      <c r="D27" s="41">
        <v>42862</v>
      </c>
      <c r="E27" s="141">
        <v>40243.957000000002</v>
      </c>
      <c r="F27" s="144">
        <f t="shared" si="2"/>
        <v>42862</v>
      </c>
      <c r="G27" s="184"/>
      <c r="H27" s="75">
        <f t="shared" si="3"/>
        <v>-2618.0429999999978</v>
      </c>
      <c r="I27" s="138"/>
    </row>
    <row r="28" spans="1:9" s="24" customFormat="1" ht="20.25" customHeight="1" x14ac:dyDescent="0.3">
      <c r="A28" s="42" t="s">
        <v>225</v>
      </c>
      <c r="B28" s="35" t="s">
        <v>112</v>
      </c>
      <c r="C28" s="74">
        <v>18900</v>
      </c>
      <c r="D28" s="36">
        <v>12911</v>
      </c>
      <c r="E28" s="41">
        <f>'bieu 17(09)'!E75</f>
        <v>7736.1109999999999</v>
      </c>
      <c r="F28" s="185">
        <f t="shared" si="2"/>
        <v>-5989</v>
      </c>
      <c r="G28" s="184">
        <f t="shared" si="0"/>
        <v>68.312169312169317</v>
      </c>
      <c r="H28" s="75">
        <f t="shared" si="3"/>
        <v>-5174.8890000000001</v>
      </c>
      <c r="I28" s="138">
        <f t="shared" si="1"/>
        <v>59.918759197583462</v>
      </c>
    </row>
    <row r="29" spans="1:9" s="24" customFormat="1" x14ac:dyDescent="0.3">
      <c r="A29" s="42" t="s">
        <v>226</v>
      </c>
      <c r="B29" s="35" t="s">
        <v>284</v>
      </c>
      <c r="C29" s="74">
        <v>1106</v>
      </c>
      <c r="D29" s="75">
        <v>1231</v>
      </c>
      <c r="E29" s="41">
        <f>'bieu 17(09)'!E71</f>
        <v>1617.537</v>
      </c>
      <c r="F29" s="144">
        <f t="shared" si="2"/>
        <v>125</v>
      </c>
      <c r="G29" s="184">
        <f t="shared" si="0"/>
        <v>111.30198915009042</v>
      </c>
      <c r="H29" s="75">
        <f t="shared" si="3"/>
        <v>386.53700000000003</v>
      </c>
      <c r="I29" s="138">
        <f t="shared" si="1"/>
        <v>131.40024370430547</v>
      </c>
    </row>
    <row r="30" spans="1:9" s="24" customFormat="1" ht="20.100000000000001" customHeight="1" x14ac:dyDescent="0.3">
      <c r="A30" s="42" t="s">
        <v>232</v>
      </c>
      <c r="B30" s="35" t="s">
        <v>114</v>
      </c>
      <c r="C30" s="74">
        <v>107271</v>
      </c>
      <c r="D30" s="54">
        <v>146941</v>
      </c>
      <c r="E30" s="75">
        <f>'bieu xa (PL11)'!R8</f>
        <v>151951.36549499998</v>
      </c>
      <c r="F30" s="144">
        <f t="shared" si="2"/>
        <v>39670</v>
      </c>
      <c r="G30" s="184">
        <f t="shared" si="0"/>
        <v>136.98110393302943</v>
      </c>
      <c r="H30" s="75">
        <f t="shared" si="3"/>
        <v>5010.3654949999764</v>
      </c>
      <c r="I30" s="138">
        <f t="shared" si="1"/>
        <v>103.40978045269868</v>
      </c>
    </row>
    <row r="31" spans="1:9" s="24" customFormat="1" ht="20.100000000000001" customHeight="1" x14ac:dyDescent="0.3">
      <c r="A31" s="42" t="s">
        <v>233</v>
      </c>
      <c r="B31" s="35" t="s">
        <v>227</v>
      </c>
      <c r="C31" s="74">
        <v>0</v>
      </c>
      <c r="D31" s="54">
        <v>141</v>
      </c>
      <c r="E31" s="75">
        <f>1201.073+2944</f>
        <v>4145.0730000000003</v>
      </c>
      <c r="F31" s="144">
        <f t="shared" si="2"/>
        <v>141</v>
      </c>
      <c r="G31" s="184"/>
      <c r="H31" s="75">
        <f t="shared" si="3"/>
        <v>4004.0730000000003</v>
      </c>
      <c r="I31" s="138"/>
    </row>
    <row r="32" spans="1:9" s="24" customFormat="1" ht="20.100000000000001" customHeight="1" x14ac:dyDescent="0.3">
      <c r="A32" s="42" t="s">
        <v>265</v>
      </c>
      <c r="B32" s="35" t="s">
        <v>196</v>
      </c>
      <c r="C32" s="74">
        <v>0</v>
      </c>
      <c r="D32" s="54">
        <v>692</v>
      </c>
      <c r="E32" s="75">
        <v>684.75400000000002</v>
      </c>
      <c r="F32" s="144">
        <f t="shared" si="2"/>
        <v>692</v>
      </c>
      <c r="G32" s="184"/>
      <c r="H32" s="75">
        <f>E32-D32</f>
        <v>-7.2459999999999809</v>
      </c>
      <c r="I32" s="138"/>
    </row>
    <row r="33" spans="1:9" s="103" customFormat="1" ht="20.100000000000001" customHeight="1" x14ac:dyDescent="0.35">
      <c r="A33" s="113" t="s">
        <v>76</v>
      </c>
      <c r="B33" s="40" t="s">
        <v>115</v>
      </c>
      <c r="C33" s="171">
        <v>11780</v>
      </c>
      <c r="D33" s="142">
        <v>7072</v>
      </c>
      <c r="E33" s="142">
        <f>'bieu 17(09)'!E77</f>
        <v>5793.2</v>
      </c>
      <c r="F33" s="186">
        <f t="shared" si="2"/>
        <v>-4708</v>
      </c>
      <c r="G33" s="181">
        <f t="shared" si="0"/>
        <v>60.033955857385401</v>
      </c>
      <c r="H33" s="137">
        <f>E33-D33</f>
        <v>-1278.8000000000002</v>
      </c>
      <c r="I33" s="135">
        <f t="shared" si="1"/>
        <v>81.917420814479641</v>
      </c>
    </row>
    <row r="34" spans="1:9" ht="18" customHeight="1" x14ac:dyDescent="0.3">
      <c r="E34" s="63"/>
      <c r="F34" s="63"/>
      <c r="G34" s="63"/>
      <c r="H34" s="63"/>
      <c r="I34" s="63"/>
    </row>
    <row r="35" spans="1:9" ht="18" customHeight="1" x14ac:dyDescent="0.3">
      <c r="E35" s="64"/>
      <c r="F35" s="64"/>
      <c r="G35" s="64"/>
      <c r="H35" s="63"/>
      <c r="I35" s="63"/>
    </row>
    <row r="36" spans="1:9" ht="18" customHeight="1" x14ac:dyDescent="0.3">
      <c r="E36" s="65"/>
      <c r="F36" s="65"/>
      <c r="G36" s="65"/>
      <c r="H36" s="63"/>
      <c r="I36" s="63"/>
    </row>
    <row r="37" spans="1:9" ht="18" customHeight="1" x14ac:dyDescent="0.3">
      <c r="E37" s="65"/>
      <c r="F37" s="65"/>
      <c r="G37" s="65"/>
      <c r="H37" s="63"/>
      <c r="I37" s="63"/>
    </row>
    <row r="38" spans="1:9" ht="18" customHeight="1" x14ac:dyDescent="0.3">
      <c r="E38" s="66"/>
      <c r="F38" s="66"/>
      <c r="G38" s="66"/>
      <c r="H38" s="63"/>
      <c r="I38" s="63"/>
    </row>
    <row r="39" spans="1:9" ht="18" customHeight="1" x14ac:dyDescent="0.3">
      <c r="E39" s="66"/>
      <c r="F39" s="66"/>
      <c r="G39" s="66"/>
      <c r="H39" s="63"/>
      <c r="I39" s="63"/>
    </row>
    <row r="40" spans="1:9" ht="18" customHeight="1" x14ac:dyDescent="0.3">
      <c r="E40" s="63"/>
      <c r="F40" s="63"/>
      <c r="G40" s="63"/>
      <c r="H40" s="63"/>
      <c r="I40" s="63"/>
    </row>
    <row r="41" spans="1:9" ht="18" customHeight="1" x14ac:dyDescent="0.3">
      <c r="E41" s="63"/>
      <c r="F41" s="63"/>
      <c r="G41" s="63"/>
      <c r="H41" s="63"/>
      <c r="I41" s="63"/>
    </row>
    <row r="42" spans="1:9" ht="18" customHeight="1" x14ac:dyDescent="0.3">
      <c r="E42" s="63"/>
      <c r="F42" s="63"/>
      <c r="G42" s="63"/>
      <c r="H42" s="63"/>
      <c r="I42" s="63"/>
    </row>
    <row r="43" spans="1:9" ht="18" customHeight="1" x14ac:dyDescent="0.3">
      <c r="E43" s="63"/>
      <c r="F43" s="63"/>
      <c r="G43" s="63"/>
      <c r="H43" s="63"/>
      <c r="I43" s="63"/>
    </row>
    <row r="44" spans="1:9" ht="18" customHeight="1" x14ac:dyDescent="0.3">
      <c r="E44" s="63"/>
      <c r="F44" s="63"/>
      <c r="G44" s="63"/>
      <c r="H44" s="63"/>
      <c r="I44" s="63"/>
    </row>
    <row r="45" spans="1:9" ht="18" customHeight="1" x14ac:dyDescent="0.3">
      <c r="E45" s="63"/>
      <c r="F45" s="63"/>
      <c r="G45" s="63"/>
      <c r="H45" s="63"/>
      <c r="I45" s="63"/>
    </row>
    <row r="46" spans="1:9" ht="18" customHeight="1" x14ac:dyDescent="0.3">
      <c r="E46" s="63"/>
      <c r="F46" s="63"/>
      <c r="G46" s="63"/>
      <c r="H46" s="63"/>
      <c r="I46" s="63"/>
    </row>
    <row r="47" spans="1:9" ht="18" customHeight="1" x14ac:dyDescent="0.3">
      <c r="E47" s="63"/>
      <c r="F47" s="63"/>
      <c r="G47" s="63"/>
      <c r="H47" s="63"/>
      <c r="I47" s="63"/>
    </row>
    <row r="48" spans="1:9" ht="18" customHeight="1" x14ac:dyDescent="0.3">
      <c r="E48" s="63"/>
      <c r="F48" s="63"/>
      <c r="G48" s="63"/>
      <c r="H48" s="63"/>
      <c r="I48" s="63"/>
    </row>
    <row r="49" spans="5:9" ht="18" customHeight="1" x14ac:dyDescent="0.3">
      <c r="E49" s="63"/>
      <c r="F49" s="63"/>
      <c r="G49" s="63"/>
      <c r="H49" s="63"/>
      <c r="I49" s="63"/>
    </row>
    <row r="50" spans="5:9" ht="18" customHeight="1" x14ac:dyDescent="0.3">
      <c r="E50" s="63"/>
      <c r="F50" s="63"/>
      <c r="G50" s="63"/>
      <c r="H50" s="63"/>
      <c r="I50" s="63"/>
    </row>
    <row r="51" spans="5:9" ht="18" customHeight="1" x14ac:dyDescent="0.3">
      <c r="E51" s="63"/>
      <c r="F51" s="63"/>
      <c r="G51" s="63"/>
      <c r="H51" s="63"/>
      <c r="I51" s="63"/>
    </row>
    <row r="52" spans="5:9" ht="18" customHeight="1" x14ac:dyDescent="0.3">
      <c r="E52" s="63"/>
      <c r="F52" s="63"/>
      <c r="G52" s="63"/>
      <c r="H52" s="63"/>
      <c r="I52" s="63"/>
    </row>
    <row r="53" spans="5:9" ht="18" customHeight="1" x14ac:dyDescent="0.3">
      <c r="E53" s="63"/>
      <c r="F53" s="63"/>
      <c r="G53" s="63"/>
      <c r="H53" s="63"/>
      <c r="I53" s="63"/>
    </row>
    <row r="54" spans="5:9" ht="18" customHeight="1" x14ac:dyDescent="0.3">
      <c r="E54" s="63"/>
      <c r="F54" s="63"/>
      <c r="G54" s="63"/>
      <c r="H54" s="63"/>
      <c r="I54" s="63"/>
    </row>
    <row r="55" spans="5:9" ht="18" customHeight="1" x14ac:dyDescent="0.3">
      <c r="E55" s="63"/>
      <c r="F55" s="63"/>
      <c r="G55" s="63"/>
      <c r="H55" s="63"/>
      <c r="I55" s="63"/>
    </row>
    <row r="56" spans="5:9" ht="18" customHeight="1" x14ac:dyDescent="0.3">
      <c r="E56" s="63"/>
      <c r="F56" s="63"/>
      <c r="G56" s="63"/>
      <c r="H56" s="63"/>
      <c r="I56" s="63"/>
    </row>
    <row r="57" spans="5:9" ht="18" customHeight="1" x14ac:dyDescent="0.3">
      <c r="E57" s="63"/>
      <c r="F57" s="63"/>
      <c r="G57" s="63"/>
      <c r="H57" s="63"/>
      <c r="I57" s="63"/>
    </row>
    <row r="58" spans="5:9" ht="18" customHeight="1" x14ac:dyDescent="0.3">
      <c r="E58" s="63"/>
      <c r="F58" s="63"/>
      <c r="G58" s="63"/>
      <c r="H58" s="63"/>
      <c r="I58" s="63"/>
    </row>
    <row r="59" spans="5:9" ht="18" customHeight="1" x14ac:dyDescent="0.3">
      <c r="E59" s="63"/>
      <c r="F59" s="63"/>
      <c r="G59" s="63"/>
      <c r="H59" s="63"/>
      <c r="I59" s="63"/>
    </row>
    <row r="60" spans="5:9" ht="18" customHeight="1" x14ac:dyDescent="0.3">
      <c r="E60" s="63"/>
      <c r="F60" s="63"/>
      <c r="G60" s="63"/>
      <c r="H60" s="63"/>
      <c r="I60" s="63"/>
    </row>
    <row r="61" spans="5:9" ht="18" customHeight="1" x14ac:dyDescent="0.3">
      <c r="E61" s="63"/>
      <c r="F61" s="63"/>
      <c r="G61" s="63"/>
      <c r="H61" s="63"/>
      <c r="I61" s="63"/>
    </row>
    <row r="62" spans="5:9" ht="18" customHeight="1" x14ac:dyDescent="0.3">
      <c r="E62" s="63"/>
      <c r="F62" s="63"/>
      <c r="G62" s="63"/>
      <c r="H62" s="63"/>
      <c r="I62" s="63"/>
    </row>
    <row r="63" spans="5:9" ht="18" customHeight="1" x14ac:dyDescent="0.3">
      <c r="E63" s="63"/>
      <c r="F63" s="63"/>
      <c r="G63" s="63"/>
      <c r="H63" s="63"/>
      <c r="I63" s="63"/>
    </row>
    <row r="64" spans="5:9" ht="18" customHeight="1" x14ac:dyDescent="0.3">
      <c r="E64" s="63"/>
      <c r="F64" s="63"/>
      <c r="G64" s="63"/>
      <c r="H64" s="63"/>
      <c r="I64" s="63"/>
    </row>
    <row r="65" spans="5:9" ht="18" customHeight="1" x14ac:dyDescent="0.3">
      <c r="E65" s="63"/>
      <c r="F65" s="63"/>
      <c r="G65" s="63"/>
      <c r="H65" s="63"/>
      <c r="I65" s="63"/>
    </row>
    <row r="66" spans="5:9" ht="18" customHeight="1" x14ac:dyDescent="0.3">
      <c r="E66" s="63"/>
      <c r="F66" s="63"/>
      <c r="G66" s="63"/>
      <c r="H66" s="63"/>
      <c r="I66" s="63"/>
    </row>
    <row r="67" spans="5:9" ht="18" customHeight="1" x14ac:dyDescent="0.3">
      <c r="E67" s="63"/>
      <c r="F67" s="63"/>
      <c r="G67" s="63"/>
      <c r="H67" s="63"/>
      <c r="I67" s="63"/>
    </row>
    <row r="68" spans="5:9" ht="18" customHeight="1" x14ac:dyDescent="0.3">
      <c r="E68" s="63"/>
      <c r="F68" s="63"/>
      <c r="G68" s="63"/>
      <c r="H68" s="63"/>
      <c r="I68" s="63"/>
    </row>
    <row r="69" spans="5:9" ht="18" customHeight="1" x14ac:dyDescent="0.3">
      <c r="E69" s="63"/>
      <c r="F69" s="63"/>
      <c r="G69" s="63"/>
      <c r="H69" s="63"/>
      <c r="I69" s="63"/>
    </row>
    <row r="70" spans="5:9" ht="18" customHeight="1" x14ac:dyDescent="0.3">
      <c r="E70" s="63"/>
      <c r="F70" s="63"/>
      <c r="G70" s="63"/>
      <c r="H70" s="63"/>
      <c r="I70" s="63"/>
    </row>
    <row r="71" spans="5:9" ht="18" customHeight="1" x14ac:dyDescent="0.3">
      <c r="E71" s="63"/>
      <c r="F71" s="63"/>
      <c r="G71" s="63"/>
      <c r="H71" s="63"/>
      <c r="I71" s="63"/>
    </row>
    <row r="72" spans="5:9" ht="18" customHeight="1" x14ac:dyDescent="0.3">
      <c r="E72" s="63"/>
      <c r="F72" s="63"/>
      <c r="G72" s="63"/>
      <c r="H72" s="63"/>
      <c r="I72" s="63"/>
    </row>
    <row r="73" spans="5:9" ht="18" customHeight="1" x14ac:dyDescent="0.3">
      <c r="E73" s="63"/>
      <c r="F73" s="63"/>
      <c r="G73" s="63"/>
      <c r="H73" s="63"/>
      <c r="I73" s="63"/>
    </row>
    <row r="74" spans="5:9" ht="18" customHeight="1" x14ac:dyDescent="0.3">
      <c r="E74" s="63"/>
      <c r="F74" s="63"/>
      <c r="G74" s="63"/>
      <c r="H74" s="63"/>
      <c r="I74" s="63"/>
    </row>
    <row r="75" spans="5:9" ht="18" customHeight="1" x14ac:dyDescent="0.3">
      <c r="E75" s="63"/>
      <c r="F75" s="63"/>
      <c r="G75" s="63"/>
      <c r="H75" s="63"/>
      <c r="I75" s="63"/>
    </row>
    <row r="76" spans="5:9" ht="18" customHeight="1" x14ac:dyDescent="0.3">
      <c r="E76" s="63"/>
      <c r="F76" s="63"/>
      <c r="G76" s="63"/>
      <c r="H76" s="63"/>
      <c r="I76" s="63"/>
    </row>
    <row r="77" spans="5:9" ht="18" customHeight="1" x14ac:dyDescent="0.3">
      <c r="E77" s="63"/>
      <c r="F77" s="63"/>
      <c r="G77" s="63"/>
      <c r="H77" s="63"/>
      <c r="I77" s="63"/>
    </row>
    <row r="78" spans="5:9" ht="18" customHeight="1" x14ac:dyDescent="0.3">
      <c r="E78" s="63"/>
      <c r="F78" s="63"/>
      <c r="G78" s="63"/>
      <c r="H78" s="63"/>
      <c r="I78" s="63"/>
    </row>
    <row r="79" spans="5:9" ht="18" customHeight="1" x14ac:dyDescent="0.3"/>
    <row r="80" spans="5:9"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sheetData>
  <mergeCells count="11">
    <mergeCell ref="H1:I1"/>
    <mergeCell ref="A5:A6"/>
    <mergeCell ref="B5:B6"/>
    <mergeCell ref="D5:D6"/>
    <mergeCell ref="E5:E6"/>
    <mergeCell ref="A2:I2"/>
    <mergeCell ref="A3:I3"/>
    <mergeCell ref="H5:I5"/>
    <mergeCell ref="H4:I4"/>
    <mergeCell ref="C5:C6"/>
    <mergeCell ref="F5:G5"/>
  </mergeCells>
  <phoneticPr fontId="3" type="noConversion"/>
  <printOptions horizontalCentered="1"/>
  <pageMargins left="0.24" right="0.15748031496063" top="0.27" bottom="0.72" header="0.2" footer="0.2"/>
  <pageSetup paperSize="9" scale="90" orientation="landscape" r:id="rId1"/>
  <headerFooter alignWithMargins="0">
    <oddFooter>&amp;F&amp;RPage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8"/>
  <sheetViews>
    <sheetView tabSelected="1" workbookViewId="0"/>
  </sheetViews>
  <sheetFormatPr defaultColWidth="9.140625" defaultRowHeight="18.75" x14ac:dyDescent="0.3"/>
  <cols>
    <col min="1" max="1" width="5" style="22" customWidth="1"/>
    <col min="2" max="2" width="64.140625" style="22" customWidth="1"/>
    <col min="3" max="3" width="13.85546875" style="22" customWidth="1"/>
    <col min="4" max="4" width="14.28515625" style="30" customWidth="1"/>
    <col min="5" max="5" width="16.7109375" style="22" customWidth="1"/>
    <col min="6" max="7" width="14.28515625" style="22" customWidth="1"/>
    <col min="8" max="8" width="13" style="22" customWidth="1"/>
    <col min="9" max="9" width="13.140625" style="30" bestFit="1" customWidth="1"/>
    <col min="10" max="16384" width="9.140625" style="22"/>
  </cols>
  <sheetData>
    <row r="1" spans="1:9" x14ac:dyDescent="0.3">
      <c r="E1" s="60"/>
      <c r="F1" s="60"/>
      <c r="G1" s="60"/>
      <c r="H1" s="208" t="s">
        <v>290</v>
      </c>
      <c r="I1" s="208"/>
    </row>
    <row r="2" spans="1:9" ht="18.75" customHeight="1" x14ac:dyDescent="0.3">
      <c r="A2" s="208" t="s">
        <v>260</v>
      </c>
      <c r="B2" s="208"/>
      <c r="C2" s="208"/>
      <c r="D2" s="208"/>
      <c r="E2" s="208"/>
      <c r="F2" s="208"/>
      <c r="G2" s="208"/>
      <c r="H2" s="208"/>
      <c r="I2" s="208"/>
    </row>
    <row r="3" spans="1:9" ht="18" customHeight="1" x14ac:dyDescent="0.3">
      <c r="A3" s="226" t="str">
        <f>'bieu 12 (PL05)'!A3:I3</f>
        <v>(Kèm theo Tờ trình số:         /TTr-UBND ngày      tháng 8 năm 2024 của UBND huyện Phụng Hiệp)</v>
      </c>
      <c r="B3" s="226"/>
      <c r="C3" s="226"/>
      <c r="D3" s="226"/>
      <c r="E3" s="226"/>
      <c r="F3" s="226"/>
      <c r="G3" s="226"/>
      <c r="H3" s="226"/>
      <c r="I3" s="226"/>
    </row>
    <row r="4" spans="1:9" x14ac:dyDescent="0.3">
      <c r="H4" s="215" t="s">
        <v>25</v>
      </c>
      <c r="I4" s="215"/>
    </row>
    <row r="5" spans="1:9" s="23" customFormat="1" ht="56.45" customHeight="1" x14ac:dyDescent="0.3">
      <c r="A5" s="212" t="s">
        <v>3</v>
      </c>
      <c r="B5" s="212" t="s">
        <v>26</v>
      </c>
      <c r="C5" s="222" t="s">
        <v>270</v>
      </c>
      <c r="D5" s="222" t="s">
        <v>272</v>
      </c>
      <c r="E5" s="222" t="s">
        <v>271</v>
      </c>
      <c r="F5" s="224" t="s">
        <v>277</v>
      </c>
      <c r="G5" s="225"/>
      <c r="H5" s="224" t="s">
        <v>278</v>
      </c>
      <c r="I5" s="225"/>
    </row>
    <row r="6" spans="1:9" s="47" customFormat="1" ht="62.45" customHeight="1" x14ac:dyDescent="0.3">
      <c r="A6" s="212"/>
      <c r="B6" s="212"/>
      <c r="C6" s="223"/>
      <c r="D6" s="223"/>
      <c r="E6" s="223"/>
      <c r="F6" s="1" t="s">
        <v>20</v>
      </c>
      <c r="G6" s="169" t="s">
        <v>24</v>
      </c>
      <c r="H6" s="1" t="s">
        <v>20</v>
      </c>
      <c r="I6" s="169" t="s">
        <v>24</v>
      </c>
    </row>
    <row r="7" spans="1:9" s="47" customFormat="1" x14ac:dyDescent="0.3">
      <c r="A7" s="61" t="s">
        <v>0</v>
      </c>
      <c r="B7" s="61" t="s">
        <v>1</v>
      </c>
      <c r="C7" s="44" t="s">
        <v>22</v>
      </c>
      <c r="D7" s="44" t="s">
        <v>23</v>
      </c>
      <c r="E7" s="44" t="s">
        <v>118</v>
      </c>
      <c r="F7" s="44" t="s">
        <v>11</v>
      </c>
      <c r="G7" s="44" t="s">
        <v>18</v>
      </c>
      <c r="H7" s="44" t="s">
        <v>19</v>
      </c>
      <c r="I7" s="44" t="s">
        <v>98</v>
      </c>
    </row>
    <row r="8" spans="1:9" x14ac:dyDescent="0.3">
      <c r="A8" s="48"/>
      <c r="B8" s="113" t="s">
        <v>119</v>
      </c>
      <c r="C8" s="49">
        <f>C9+C13+C43+C72+C75+C76+C77</f>
        <v>588066.5</v>
      </c>
      <c r="D8" s="49">
        <f>D9+D13+D43+D72+D75+D76+D77+1</f>
        <v>628046.4580000001</v>
      </c>
      <c r="E8" s="180">
        <f>E9+E13+E43+E72+E75+E76+E77</f>
        <v>625454.17700000003</v>
      </c>
      <c r="F8" s="189">
        <f>F9+F13+F43+F72+F75+F76+F77</f>
        <v>39978.95799999997</v>
      </c>
      <c r="G8" s="182">
        <f>D8/C8*100</f>
        <v>106.79854370211534</v>
      </c>
      <c r="H8" s="151">
        <f>H9+H13+H43+H72+H75+H76+H77</f>
        <v>-2637.2059999999501</v>
      </c>
      <c r="I8" s="72">
        <f>E8/D8*100</f>
        <v>99.587246935799129</v>
      </c>
    </row>
    <row r="9" spans="1:9" s="23" customFormat="1" x14ac:dyDescent="0.3">
      <c r="A9" s="113" t="s">
        <v>0</v>
      </c>
      <c r="B9" s="40" t="s">
        <v>120</v>
      </c>
      <c r="C9" s="32">
        <f>SUM(C10:C12)</f>
        <v>61091</v>
      </c>
      <c r="D9" s="32">
        <f>SUM(D10:D12)</f>
        <v>56517</v>
      </c>
      <c r="E9" s="143">
        <f>SUM(E10:E12)</f>
        <v>54578.696000000004</v>
      </c>
      <c r="F9" s="190">
        <f>SUM(F10:F12)</f>
        <v>-4574</v>
      </c>
      <c r="G9" s="182">
        <f t="shared" ref="G9:G72" si="0">D9/C9*100</f>
        <v>92.512808760701247</v>
      </c>
      <c r="H9" s="191">
        <f>SUM(H10:H12)</f>
        <v>-1938.3039999999964</v>
      </c>
      <c r="I9" s="72">
        <f t="shared" ref="I9:I77" si="1">E9/D9*100</f>
        <v>96.570405364757519</v>
      </c>
    </row>
    <row r="10" spans="1:9" s="24" customFormat="1" x14ac:dyDescent="0.3">
      <c r="A10" s="34">
        <v>1</v>
      </c>
      <c r="B10" s="35" t="s">
        <v>258</v>
      </c>
      <c r="C10" s="74">
        <v>12916</v>
      </c>
      <c r="D10" s="36">
        <v>12916</v>
      </c>
      <c r="E10" s="41">
        <v>12916</v>
      </c>
      <c r="F10" s="41">
        <f>D10-C10</f>
        <v>0</v>
      </c>
      <c r="G10" s="184">
        <f t="shared" si="0"/>
        <v>100</v>
      </c>
      <c r="H10" s="75">
        <f>E10-D10</f>
        <v>0</v>
      </c>
      <c r="I10" s="71">
        <f t="shared" si="1"/>
        <v>100</v>
      </c>
    </row>
    <row r="11" spans="1:9" s="24" customFormat="1" ht="37.5" x14ac:dyDescent="0.3">
      <c r="A11" s="44" t="s">
        <v>23</v>
      </c>
      <c r="B11" s="52" t="s">
        <v>203</v>
      </c>
      <c r="C11" s="183">
        <v>18255</v>
      </c>
      <c r="D11" s="141">
        <v>9120</v>
      </c>
      <c r="E11" s="144">
        <f>D11</f>
        <v>9120</v>
      </c>
      <c r="F11" s="192">
        <f t="shared" ref="F11:F12" si="2">D11-C11</f>
        <v>-9135</v>
      </c>
      <c r="G11" s="184">
        <f t="shared" si="0"/>
        <v>49.958915365653247</v>
      </c>
      <c r="H11" s="75">
        <f t="shared" ref="H11:H77" si="3">E11-D11</f>
        <v>0</v>
      </c>
      <c r="I11" s="145">
        <f t="shared" si="1"/>
        <v>100</v>
      </c>
    </row>
    <row r="12" spans="1:9" x14ac:dyDescent="0.3">
      <c r="A12" s="44" t="s">
        <v>118</v>
      </c>
      <c r="B12" s="35" t="s">
        <v>160</v>
      </c>
      <c r="C12" s="74">
        <v>29920</v>
      </c>
      <c r="D12" s="51">
        <v>34481</v>
      </c>
      <c r="E12" s="54">
        <f>54578.696-E10-E11</f>
        <v>32542.696000000004</v>
      </c>
      <c r="F12" s="41">
        <f t="shared" si="2"/>
        <v>4561</v>
      </c>
      <c r="G12" s="184">
        <f t="shared" si="0"/>
        <v>115.24398395721924</v>
      </c>
      <c r="H12" s="75">
        <f>E12-D12</f>
        <v>-1938.3039999999964</v>
      </c>
      <c r="I12" s="71">
        <f t="shared" si="1"/>
        <v>94.378631710217235</v>
      </c>
    </row>
    <row r="13" spans="1:9" s="103" customFormat="1" ht="19.5" x14ac:dyDescent="0.35">
      <c r="A13" s="48" t="s">
        <v>1</v>
      </c>
      <c r="B13" s="40" t="s">
        <v>121</v>
      </c>
      <c r="C13" s="146">
        <f>C14+SUM(C22:C26)</f>
        <v>450005</v>
      </c>
      <c r="D13" s="146">
        <f>D14+SUM(D22:D26)</f>
        <v>488091.86899999995</v>
      </c>
      <c r="E13" s="146">
        <f>E14+SUM(E22:E26)</f>
        <v>490019.99600000004</v>
      </c>
      <c r="F13" s="146">
        <f>F14+SUM(F22:F26)</f>
        <v>38086.86899999997</v>
      </c>
      <c r="G13" s="181">
        <f t="shared" si="0"/>
        <v>108.46365462605969</v>
      </c>
      <c r="H13" s="146">
        <f>H14+SUM(H22:H26)</f>
        <v>1882.2020000000487</v>
      </c>
      <c r="I13" s="72">
        <f t="shared" si="1"/>
        <v>100.39503362429505</v>
      </c>
    </row>
    <row r="14" spans="1:9" s="24" customFormat="1" x14ac:dyDescent="0.3">
      <c r="A14" s="42" t="s">
        <v>22</v>
      </c>
      <c r="B14" s="35" t="s">
        <v>235</v>
      </c>
      <c r="C14" s="51">
        <f>C15+C20+C21</f>
        <v>3258</v>
      </c>
      <c r="D14" s="51">
        <f>D15+D20+D21</f>
        <v>8317.648000000001</v>
      </c>
      <c r="E14" s="51">
        <f t="shared" ref="E14:H14" si="4">E15+E20+E21</f>
        <v>8690.5560000000005</v>
      </c>
      <c r="F14" s="51">
        <f t="shared" si="4"/>
        <v>5059.6480000000001</v>
      </c>
      <c r="G14" s="184">
        <f t="shared" si="0"/>
        <v>255.29920196439537</v>
      </c>
      <c r="H14" s="51">
        <f t="shared" si="4"/>
        <v>372.90800000000013</v>
      </c>
      <c r="I14" s="71">
        <f t="shared" si="1"/>
        <v>104.48333471192817</v>
      </c>
    </row>
    <row r="15" spans="1:9" s="24" customFormat="1" x14ac:dyDescent="0.3">
      <c r="A15" s="42" t="s">
        <v>236</v>
      </c>
      <c r="B15" s="35" t="s">
        <v>296</v>
      </c>
      <c r="C15" s="51">
        <f>SUM(C16:C19)</f>
        <v>3258</v>
      </c>
      <c r="D15" s="51">
        <f>SUM(D16:D19)</f>
        <v>4564.4319999999998</v>
      </c>
      <c r="E15" s="51">
        <f>SUM(E16:E19)</f>
        <v>4937.3399999999992</v>
      </c>
      <c r="F15" s="51">
        <f>SUM(F16:F19)</f>
        <v>1306.432</v>
      </c>
      <c r="G15" s="184">
        <f t="shared" si="0"/>
        <v>140.09920196439535</v>
      </c>
      <c r="H15" s="51">
        <f t="shared" ref="H15" si="5">SUM(H16:H19)</f>
        <v>372.90800000000013</v>
      </c>
      <c r="I15" s="71">
        <f t="shared" si="1"/>
        <v>108.16986648064861</v>
      </c>
    </row>
    <row r="16" spans="1:9" s="24" customFormat="1" x14ac:dyDescent="0.3">
      <c r="A16" s="42"/>
      <c r="B16" s="35" t="s">
        <v>237</v>
      </c>
      <c r="C16" s="46">
        <v>1269</v>
      </c>
      <c r="D16" s="54">
        <v>1603.62</v>
      </c>
      <c r="E16" s="54">
        <v>1688.056</v>
      </c>
      <c r="F16" s="54">
        <f>D16-C16</f>
        <v>334.61999999999989</v>
      </c>
      <c r="G16" s="184">
        <f t="shared" si="0"/>
        <v>126.36879432624113</v>
      </c>
      <c r="H16" s="75">
        <f>E16-D16</f>
        <v>84.436000000000149</v>
      </c>
      <c r="I16" s="71">
        <f t="shared" si="1"/>
        <v>105.26533717464237</v>
      </c>
    </row>
    <row r="17" spans="1:9" s="24" customFormat="1" x14ac:dyDescent="0.3">
      <c r="A17" s="42"/>
      <c r="B17" s="35" t="s">
        <v>238</v>
      </c>
      <c r="C17" s="46">
        <v>257</v>
      </c>
      <c r="D17" s="54">
        <v>759.04700000000003</v>
      </c>
      <c r="E17" s="54">
        <v>785.35900000000004</v>
      </c>
      <c r="F17" s="54">
        <f t="shared" ref="F17:F25" si="6">D17-C17</f>
        <v>502.04700000000003</v>
      </c>
      <c r="G17" s="184">
        <f t="shared" si="0"/>
        <v>295.34902723735411</v>
      </c>
      <c r="H17" s="75">
        <f t="shared" ref="H17:H21" si="7">E17-D17</f>
        <v>26.312000000000012</v>
      </c>
      <c r="I17" s="71">
        <f t="shared" si="1"/>
        <v>103.46645201153552</v>
      </c>
    </row>
    <row r="18" spans="1:9" s="24" customFormat="1" x14ac:dyDescent="0.3">
      <c r="A18" s="42"/>
      <c r="B18" s="35" t="s">
        <v>239</v>
      </c>
      <c r="C18" s="46">
        <v>1242</v>
      </c>
      <c r="D18" s="54">
        <v>1500.046</v>
      </c>
      <c r="E18" s="54">
        <v>1727.806</v>
      </c>
      <c r="F18" s="54">
        <f t="shared" si="6"/>
        <v>258.04600000000005</v>
      </c>
      <c r="G18" s="184">
        <f t="shared" si="0"/>
        <v>120.77665056360709</v>
      </c>
      <c r="H18" s="75">
        <f t="shared" si="7"/>
        <v>227.76</v>
      </c>
      <c r="I18" s="71">
        <f t="shared" si="1"/>
        <v>115.18353437161259</v>
      </c>
    </row>
    <row r="19" spans="1:9" s="24" customFormat="1" x14ac:dyDescent="0.3">
      <c r="A19" s="42"/>
      <c r="B19" s="35" t="s">
        <v>240</v>
      </c>
      <c r="C19" s="46">
        <v>490</v>
      </c>
      <c r="D19" s="54">
        <v>701.71900000000005</v>
      </c>
      <c r="E19" s="54">
        <v>736.11900000000003</v>
      </c>
      <c r="F19" s="54">
        <f t="shared" si="6"/>
        <v>211.71900000000005</v>
      </c>
      <c r="G19" s="184">
        <f t="shared" si="0"/>
        <v>143.20795918367349</v>
      </c>
      <c r="H19" s="75">
        <f t="shared" si="7"/>
        <v>34.399999999999977</v>
      </c>
      <c r="I19" s="71">
        <f t="shared" si="1"/>
        <v>104.90224719581485</v>
      </c>
    </row>
    <row r="20" spans="1:9" s="24" customFormat="1" x14ac:dyDescent="0.3">
      <c r="A20" s="42" t="s">
        <v>241</v>
      </c>
      <c r="B20" s="35" t="s">
        <v>242</v>
      </c>
      <c r="C20" s="74"/>
      <c r="D20" s="54">
        <v>3.2160000000000002</v>
      </c>
      <c r="E20" s="54">
        <v>3.2160000000000002</v>
      </c>
      <c r="F20" s="54">
        <f t="shared" si="6"/>
        <v>3.2160000000000002</v>
      </c>
      <c r="G20" s="181"/>
      <c r="H20" s="75">
        <f t="shared" si="7"/>
        <v>0</v>
      </c>
      <c r="I20" s="71">
        <f t="shared" si="1"/>
        <v>100</v>
      </c>
    </row>
    <row r="21" spans="1:9" s="24" customFormat="1" x14ac:dyDescent="0.3">
      <c r="A21" s="42" t="s">
        <v>259</v>
      </c>
      <c r="B21" s="35" t="s">
        <v>135</v>
      </c>
      <c r="C21" s="74"/>
      <c r="D21" s="54">
        <v>3750</v>
      </c>
      <c r="E21" s="54">
        <v>3750</v>
      </c>
      <c r="F21" s="54">
        <f t="shared" si="6"/>
        <v>3750</v>
      </c>
      <c r="G21" s="181"/>
      <c r="H21" s="75">
        <f t="shared" si="7"/>
        <v>0</v>
      </c>
      <c r="I21" s="71">
        <f t="shared" si="1"/>
        <v>100</v>
      </c>
    </row>
    <row r="22" spans="1:9" s="24" customFormat="1" x14ac:dyDescent="0.3">
      <c r="A22" s="42" t="s">
        <v>23</v>
      </c>
      <c r="B22" s="35" t="s">
        <v>122</v>
      </c>
      <c r="C22" s="74">
        <v>102722</v>
      </c>
      <c r="D22" s="75">
        <v>101950.791</v>
      </c>
      <c r="E22" s="75">
        <v>102203.016</v>
      </c>
      <c r="F22" s="193">
        <f t="shared" si="6"/>
        <v>-771.20900000000256</v>
      </c>
      <c r="G22" s="184">
        <f t="shared" si="0"/>
        <v>99.24922703997197</v>
      </c>
      <c r="H22" s="75">
        <f t="shared" si="3"/>
        <v>252.22500000000582</v>
      </c>
      <c r="I22" s="140">
        <f t="shared" si="1"/>
        <v>100.24739876711696</v>
      </c>
    </row>
    <row r="23" spans="1:9" s="24" customFormat="1" x14ac:dyDescent="0.3">
      <c r="A23" s="42" t="s">
        <v>118</v>
      </c>
      <c r="B23" s="35" t="s">
        <v>123</v>
      </c>
      <c r="C23" s="74">
        <v>560</v>
      </c>
      <c r="D23" s="54">
        <v>560</v>
      </c>
      <c r="E23" s="54">
        <v>560</v>
      </c>
      <c r="F23" s="54">
        <f t="shared" si="6"/>
        <v>0</v>
      </c>
      <c r="G23" s="184">
        <f t="shared" si="0"/>
        <v>100</v>
      </c>
      <c r="H23" s="75">
        <f t="shared" si="3"/>
        <v>0</v>
      </c>
      <c r="I23" s="140">
        <f t="shared" si="1"/>
        <v>100</v>
      </c>
    </row>
    <row r="24" spans="1:9" s="24" customFormat="1" x14ac:dyDescent="0.3">
      <c r="A24" s="42" t="s">
        <v>11</v>
      </c>
      <c r="B24" s="35" t="s">
        <v>124</v>
      </c>
      <c r="C24" s="74">
        <v>8828</v>
      </c>
      <c r="D24" s="54">
        <v>12478</v>
      </c>
      <c r="E24" s="54">
        <v>12419.562</v>
      </c>
      <c r="F24" s="54">
        <f t="shared" si="6"/>
        <v>3650</v>
      </c>
      <c r="G24" s="184">
        <f t="shared" si="0"/>
        <v>141.34571816946081</v>
      </c>
      <c r="H24" s="75">
        <f>E24-D24</f>
        <v>-58.438000000000102</v>
      </c>
      <c r="I24" s="140">
        <f t="shared" si="1"/>
        <v>99.531671742266397</v>
      </c>
    </row>
    <row r="25" spans="1:9" s="24" customFormat="1" x14ac:dyDescent="0.3">
      <c r="A25" s="42" t="s">
        <v>18</v>
      </c>
      <c r="B25" s="35" t="s">
        <v>125</v>
      </c>
      <c r="C25" s="74">
        <v>327207</v>
      </c>
      <c r="D25" s="41">
        <f>355188.519-3019</f>
        <v>352169.51899999997</v>
      </c>
      <c r="E25" s="41">
        <f>356531.178-3019</f>
        <v>353512.17800000001</v>
      </c>
      <c r="F25" s="54">
        <f t="shared" si="6"/>
        <v>24962.518999999971</v>
      </c>
      <c r="G25" s="184">
        <f t="shared" si="0"/>
        <v>107.62896851228732</v>
      </c>
      <c r="H25" s="75">
        <f>E25-D25</f>
        <v>1342.6590000000433</v>
      </c>
      <c r="I25" s="140">
        <f t="shared" si="1"/>
        <v>100.38125360872019</v>
      </c>
    </row>
    <row r="26" spans="1:9" s="24" customFormat="1" x14ac:dyDescent="0.3">
      <c r="A26" s="42" t="s">
        <v>19</v>
      </c>
      <c r="B26" s="35" t="s">
        <v>126</v>
      </c>
      <c r="C26" s="187">
        <f>SUM(C27:C42)</f>
        <v>7430</v>
      </c>
      <c r="D26" s="51">
        <f>SUM(D27:D42)</f>
        <v>12615.911</v>
      </c>
      <c r="E26" s="54">
        <f>SUM(E27:E42)</f>
        <v>12634.683999999997</v>
      </c>
      <c r="F26" s="54">
        <f>SUM(F27:F42)</f>
        <v>5185.9110000000019</v>
      </c>
      <c r="G26" s="184">
        <f t="shared" si="0"/>
        <v>169.79691790040377</v>
      </c>
      <c r="H26" s="81">
        <f>SUM(H27:H42)</f>
        <v>-27.152000000000385</v>
      </c>
      <c r="I26" s="71">
        <f t="shared" si="1"/>
        <v>100.14880415690945</v>
      </c>
    </row>
    <row r="27" spans="1:9" s="24" customFormat="1" x14ac:dyDescent="0.3">
      <c r="A27" s="42"/>
      <c r="B27" s="35" t="s">
        <v>297</v>
      </c>
      <c r="C27" s="74">
        <v>3079</v>
      </c>
      <c r="D27" s="54">
        <v>3082.0720000000001</v>
      </c>
      <c r="E27" s="54">
        <v>3382.8620000000001</v>
      </c>
      <c r="F27" s="54">
        <f>D27-C27</f>
        <v>3.0720000000001164</v>
      </c>
      <c r="G27" s="184">
        <f t="shared" si="0"/>
        <v>100.09977265345893</v>
      </c>
      <c r="H27" s="75">
        <f t="shared" si="3"/>
        <v>300.78999999999996</v>
      </c>
      <c r="I27" s="71">
        <f t="shared" si="1"/>
        <v>109.75934371422862</v>
      </c>
    </row>
    <row r="28" spans="1:9" s="24" customFormat="1" x14ac:dyDescent="0.3">
      <c r="A28" s="42"/>
      <c r="B28" s="35" t="s">
        <v>127</v>
      </c>
      <c r="C28" s="74">
        <v>3651</v>
      </c>
      <c r="D28" s="54">
        <v>3365.5720000000001</v>
      </c>
      <c r="E28" s="54">
        <v>3378.3449999999998</v>
      </c>
      <c r="F28" s="193">
        <f t="shared" ref="F28:F42" si="8">D28-C28</f>
        <v>-285.42799999999988</v>
      </c>
      <c r="G28" s="184">
        <f t="shared" si="0"/>
        <v>92.18219665844974</v>
      </c>
      <c r="H28" s="75">
        <f t="shared" si="3"/>
        <v>12.772999999999683</v>
      </c>
      <c r="I28" s="71">
        <f t="shared" si="1"/>
        <v>100.37951943978615</v>
      </c>
    </row>
    <row r="29" spans="1:9" s="95" customFormat="1" x14ac:dyDescent="0.2">
      <c r="A29" s="239"/>
      <c r="B29" s="198" t="s">
        <v>298</v>
      </c>
      <c r="C29" s="199"/>
      <c r="D29" s="240">
        <v>276</v>
      </c>
      <c r="E29" s="240">
        <v>276</v>
      </c>
      <c r="F29" s="240">
        <f t="shared" si="8"/>
        <v>276</v>
      </c>
      <c r="G29" s="241"/>
      <c r="H29" s="242">
        <f t="shared" si="3"/>
        <v>0</v>
      </c>
      <c r="I29" s="243">
        <f t="shared" si="1"/>
        <v>100</v>
      </c>
    </row>
    <row r="30" spans="1:9" s="24" customFormat="1" x14ac:dyDescent="0.3">
      <c r="A30" s="42"/>
      <c r="B30" s="35" t="s">
        <v>299</v>
      </c>
      <c r="C30" s="74"/>
      <c r="D30" s="54">
        <v>1059.8800000000001</v>
      </c>
      <c r="E30" s="54">
        <v>1059.8800000000001</v>
      </c>
      <c r="F30" s="54">
        <f t="shared" si="8"/>
        <v>1059.8800000000001</v>
      </c>
      <c r="G30" s="181"/>
      <c r="H30" s="75">
        <f t="shared" si="3"/>
        <v>0</v>
      </c>
      <c r="I30" s="71">
        <f t="shared" si="1"/>
        <v>100</v>
      </c>
    </row>
    <row r="31" spans="1:9" s="24" customFormat="1" x14ac:dyDescent="0.3">
      <c r="A31" s="42"/>
      <c r="B31" s="35" t="s">
        <v>300</v>
      </c>
      <c r="C31" s="74"/>
      <c r="D31" s="54">
        <v>3343.5720000000001</v>
      </c>
      <c r="E31" s="54">
        <v>3343.5720000000001</v>
      </c>
      <c r="F31" s="54">
        <f t="shared" si="8"/>
        <v>3343.5720000000001</v>
      </c>
      <c r="G31" s="181"/>
      <c r="H31" s="75">
        <f t="shared" si="3"/>
        <v>0</v>
      </c>
      <c r="I31" s="71">
        <f t="shared" si="1"/>
        <v>100</v>
      </c>
    </row>
    <row r="32" spans="1:9" s="24" customFormat="1" x14ac:dyDescent="0.3">
      <c r="A32" s="42"/>
      <c r="B32" s="35" t="s">
        <v>231</v>
      </c>
      <c r="C32" s="74"/>
      <c r="D32" s="54">
        <v>249.10400000000001</v>
      </c>
      <c r="E32" s="54">
        <v>249.10400000000001</v>
      </c>
      <c r="F32" s="54">
        <f t="shared" si="8"/>
        <v>249.10400000000001</v>
      </c>
      <c r="G32" s="181"/>
      <c r="H32" s="75">
        <f t="shared" si="3"/>
        <v>0</v>
      </c>
      <c r="I32" s="71">
        <f t="shared" si="1"/>
        <v>100</v>
      </c>
    </row>
    <row r="33" spans="1:9" s="24" customFormat="1" x14ac:dyDescent="0.3">
      <c r="A33" s="42"/>
      <c r="B33" s="35" t="s">
        <v>229</v>
      </c>
      <c r="C33" s="74"/>
      <c r="D33" s="54">
        <v>575.17999999999995</v>
      </c>
      <c r="E33" s="54">
        <v>575.17999999999995</v>
      </c>
      <c r="F33" s="54">
        <f t="shared" si="8"/>
        <v>575.17999999999995</v>
      </c>
      <c r="G33" s="181"/>
      <c r="H33" s="75">
        <f t="shared" si="3"/>
        <v>0</v>
      </c>
      <c r="I33" s="71">
        <f t="shared" si="1"/>
        <v>100</v>
      </c>
    </row>
    <row r="34" spans="1:9" s="24" customFormat="1" x14ac:dyDescent="0.3">
      <c r="A34" s="42"/>
      <c r="B34" s="35" t="s">
        <v>230</v>
      </c>
      <c r="C34" s="74"/>
      <c r="D34" s="54">
        <v>46.27</v>
      </c>
      <c r="E34" s="54">
        <v>46.27</v>
      </c>
      <c r="F34" s="54">
        <f t="shared" si="8"/>
        <v>46.27</v>
      </c>
      <c r="G34" s="181"/>
      <c r="H34" s="75">
        <f t="shared" si="3"/>
        <v>0</v>
      </c>
      <c r="I34" s="71">
        <f t="shared" si="1"/>
        <v>100</v>
      </c>
    </row>
    <row r="35" spans="1:9" s="24" customFormat="1" x14ac:dyDescent="0.3">
      <c r="A35" s="42"/>
      <c r="B35" s="35" t="s">
        <v>262</v>
      </c>
      <c r="C35" s="74"/>
      <c r="D35" s="54">
        <v>48</v>
      </c>
      <c r="E35" s="54">
        <v>48</v>
      </c>
      <c r="F35" s="54">
        <f t="shared" si="8"/>
        <v>48</v>
      </c>
      <c r="G35" s="181"/>
      <c r="H35" s="75">
        <f t="shared" si="3"/>
        <v>0</v>
      </c>
      <c r="I35" s="71">
        <f t="shared" si="1"/>
        <v>100</v>
      </c>
    </row>
    <row r="36" spans="1:9" s="24" customFormat="1" x14ac:dyDescent="0.3">
      <c r="A36" s="42"/>
      <c r="B36" s="35" t="s">
        <v>261</v>
      </c>
      <c r="C36" s="74"/>
      <c r="D36" s="54">
        <v>36.533000000000001</v>
      </c>
      <c r="E36" s="54">
        <v>36.533000000000001</v>
      </c>
      <c r="F36" s="54">
        <f t="shared" si="8"/>
        <v>36.533000000000001</v>
      </c>
      <c r="G36" s="181"/>
      <c r="H36" s="75">
        <f t="shared" si="3"/>
        <v>0</v>
      </c>
      <c r="I36" s="71">
        <f t="shared" si="1"/>
        <v>100</v>
      </c>
    </row>
    <row r="37" spans="1:9" s="24" customFormat="1" x14ac:dyDescent="0.3">
      <c r="A37" s="42"/>
      <c r="B37" s="35" t="s">
        <v>267</v>
      </c>
      <c r="C37" s="74"/>
      <c r="D37" s="54">
        <v>2.8</v>
      </c>
      <c r="E37" s="54">
        <v>2.8</v>
      </c>
      <c r="F37" s="54">
        <f t="shared" si="8"/>
        <v>2.8</v>
      </c>
      <c r="G37" s="181"/>
      <c r="H37" s="75">
        <f t="shared" si="3"/>
        <v>0</v>
      </c>
      <c r="I37" s="71">
        <f t="shared" si="1"/>
        <v>100</v>
      </c>
    </row>
    <row r="38" spans="1:9" s="24" customFormat="1" x14ac:dyDescent="0.3">
      <c r="A38" s="42"/>
      <c r="B38" s="35" t="s">
        <v>268</v>
      </c>
      <c r="C38" s="74"/>
      <c r="D38" s="54"/>
      <c r="E38" s="54">
        <v>17</v>
      </c>
      <c r="F38" s="54">
        <f t="shared" si="8"/>
        <v>0</v>
      </c>
      <c r="G38" s="181"/>
      <c r="H38" s="75"/>
      <c r="I38" s="71"/>
    </row>
    <row r="39" spans="1:9" s="24" customFormat="1" x14ac:dyDescent="0.3">
      <c r="A39" s="42"/>
      <c r="B39" s="35" t="s">
        <v>301</v>
      </c>
      <c r="C39" s="74"/>
      <c r="D39" s="54"/>
      <c r="E39" s="54">
        <v>5</v>
      </c>
      <c r="F39" s="54">
        <f t="shared" si="8"/>
        <v>0</v>
      </c>
      <c r="G39" s="181"/>
      <c r="H39" s="75"/>
      <c r="I39" s="71"/>
    </row>
    <row r="40" spans="1:9" s="24" customFormat="1" x14ac:dyDescent="0.3">
      <c r="A40" s="42"/>
      <c r="B40" s="35" t="s">
        <v>269</v>
      </c>
      <c r="C40" s="74"/>
      <c r="D40" s="54"/>
      <c r="E40" s="54">
        <v>11.9625</v>
      </c>
      <c r="F40" s="54">
        <f t="shared" si="8"/>
        <v>0</v>
      </c>
      <c r="G40" s="181"/>
      <c r="H40" s="75"/>
      <c r="I40" s="71"/>
    </row>
    <row r="41" spans="1:9" s="24" customFormat="1" x14ac:dyDescent="0.3">
      <c r="A41" s="42"/>
      <c r="B41" s="35" t="s">
        <v>302</v>
      </c>
      <c r="C41" s="74"/>
      <c r="D41" s="54"/>
      <c r="E41" s="54">
        <v>11.9625</v>
      </c>
      <c r="F41" s="54">
        <f t="shared" si="8"/>
        <v>0</v>
      </c>
      <c r="G41" s="181"/>
      <c r="H41" s="75"/>
      <c r="I41" s="71"/>
    </row>
    <row r="42" spans="1:9" s="24" customFormat="1" x14ac:dyDescent="0.3">
      <c r="A42" s="42"/>
      <c r="B42" s="35" t="s">
        <v>128</v>
      </c>
      <c r="C42" s="74">
        <v>700</v>
      </c>
      <c r="D42" s="54">
        <v>530.928</v>
      </c>
      <c r="E42" s="54">
        <v>190.21299999999999</v>
      </c>
      <c r="F42" s="193">
        <f t="shared" si="8"/>
        <v>-169.072</v>
      </c>
      <c r="G42" s="184">
        <f t="shared" si="0"/>
        <v>75.846857142857132</v>
      </c>
      <c r="H42" s="75">
        <f t="shared" si="3"/>
        <v>-340.71500000000003</v>
      </c>
      <c r="I42" s="71">
        <f t="shared" si="1"/>
        <v>35.826515083024439</v>
      </c>
    </row>
    <row r="43" spans="1:9" s="103" customFormat="1" ht="19.5" x14ac:dyDescent="0.35">
      <c r="A43" s="48" t="s">
        <v>144</v>
      </c>
      <c r="B43" s="40" t="s">
        <v>129</v>
      </c>
      <c r="C43" s="188">
        <f>C44+C56+C62+C70+C71-1</f>
        <v>36918.5</v>
      </c>
      <c r="D43" s="146">
        <f>D44+D56+D62+D70+D71</f>
        <v>46435.796999999999</v>
      </c>
      <c r="E43" s="142">
        <f>E44+E56+E62+E70+E71</f>
        <v>48594.570999999996</v>
      </c>
      <c r="F43" s="142">
        <f>F44+F56+F62+F70+F71+1</f>
        <v>9517.2970000000005</v>
      </c>
      <c r="G43" s="181">
        <f t="shared" si="0"/>
        <v>125.7792082560234</v>
      </c>
      <c r="H43" s="146">
        <f>H44+H56+H62+H70+H71</f>
        <v>2158.7739999999994</v>
      </c>
      <c r="I43" s="72">
        <f t="shared" si="1"/>
        <v>104.6489435725632</v>
      </c>
    </row>
    <row r="44" spans="1:9" s="103" customFormat="1" ht="19.5" x14ac:dyDescent="0.35">
      <c r="A44" s="48" t="s">
        <v>30</v>
      </c>
      <c r="B44" s="40" t="s">
        <v>130</v>
      </c>
      <c r="C44" s="188">
        <f>SUM(C45:C55)</f>
        <v>18973</v>
      </c>
      <c r="D44" s="146">
        <f>SUM(D45:D55)</f>
        <v>25548.635999999999</v>
      </c>
      <c r="E44" s="146">
        <f t="shared" ref="E44:F44" si="9">SUM(E45:E55)</f>
        <v>26907.021000000001</v>
      </c>
      <c r="F44" s="146">
        <f t="shared" si="9"/>
        <v>6575.6360000000004</v>
      </c>
      <c r="G44" s="181">
        <f t="shared" si="0"/>
        <v>134.65786117113791</v>
      </c>
      <c r="H44" s="146">
        <f>SUM(H45:H55)</f>
        <v>1358.3850000000002</v>
      </c>
      <c r="I44" s="72">
        <f t="shared" si="1"/>
        <v>105.31685918575067</v>
      </c>
    </row>
    <row r="45" spans="1:9" s="24" customFormat="1" x14ac:dyDescent="0.3">
      <c r="A45" s="42" t="s">
        <v>22</v>
      </c>
      <c r="B45" s="35" t="s">
        <v>131</v>
      </c>
      <c r="C45" s="74">
        <v>7394.5</v>
      </c>
      <c r="D45" s="75">
        <v>8750.77</v>
      </c>
      <c r="E45" s="75">
        <v>9559.6370000000006</v>
      </c>
      <c r="F45" s="75">
        <f>D45-C45</f>
        <v>1356.2700000000004</v>
      </c>
      <c r="G45" s="184">
        <f t="shared" si="0"/>
        <v>118.34160524714315</v>
      </c>
      <c r="H45" s="75">
        <f t="shared" si="3"/>
        <v>808.86700000000019</v>
      </c>
      <c r="I45" s="71">
        <f t="shared" si="1"/>
        <v>109.24338086819789</v>
      </c>
    </row>
    <row r="46" spans="1:9" s="24" customFormat="1" x14ac:dyDescent="0.3">
      <c r="A46" s="42" t="s">
        <v>23</v>
      </c>
      <c r="B46" s="35" t="s">
        <v>132</v>
      </c>
      <c r="C46" s="74">
        <v>1165</v>
      </c>
      <c r="D46" s="75">
        <v>1487.085</v>
      </c>
      <c r="E46" s="75">
        <v>1642.192</v>
      </c>
      <c r="F46" s="75">
        <f t="shared" ref="F46:F55" si="10">D46-C46</f>
        <v>322.08500000000004</v>
      </c>
      <c r="G46" s="184">
        <f t="shared" si="0"/>
        <v>127.64678111587983</v>
      </c>
      <c r="H46" s="75">
        <f t="shared" si="3"/>
        <v>155.10699999999997</v>
      </c>
      <c r="I46" s="71">
        <f t="shared" si="1"/>
        <v>110.4302713025819</v>
      </c>
    </row>
    <row r="47" spans="1:9" s="24" customFormat="1" x14ac:dyDescent="0.3">
      <c r="A47" s="42" t="s">
        <v>118</v>
      </c>
      <c r="B47" s="35" t="s">
        <v>133</v>
      </c>
      <c r="C47" s="74">
        <v>995</v>
      </c>
      <c r="D47" s="75">
        <v>1046.9059999999999</v>
      </c>
      <c r="E47" s="75">
        <v>1194.4559999999999</v>
      </c>
      <c r="F47" s="75">
        <f t="shared" si="10"/>
        <v>51.905999999999949</v>
      </c>
      <c r="G47" s="184">
        <f t="shared" si="0"/>
        <v>105.21668341708543</v>
      </c>
      <c r="H47" s="75">
        <f t="shared" si="3"/>
        <v>147.54999999999995</v>
      </c>
      <c r="I47" s="71">
        <f t="shared" si="1"/>
        <v>114.09391101015756</v>
      </c>
    </row>
    <row r="48" spans="1:9" s="24" customFormat="1" x14ac:dyDescent="0.3">
      <c r="A48" s="42" t="s">
        <v>11</v>
      </c>
      <c r="B48" s="35" t="s">
        <v>134</v>
      </c>
      <c r="C48" s="74">
        <v>1537.5</v>
      </c>
      <c r="D48" s="75">
        <v>3756.2020000000002</v>
      </c>
      <c r="E48" s="75">
        <v>3830.1019999999999</v>
      </c>
      <c r="F48" s="75">
        <f t="shared" si="10"/>
        <v>2218.7020000000002</v>
      </c>
      <c r="G48" s="184">
        <f t="shared" si="0"/>
        <v>244.30582113821137</v>
      </c>
      <c r="H48" s="75">
        <f t="shared" si="3"/>
        <v>73.899999999999636</v>
      </c>
      <c r="I48" s="71">
        <f t="shared" si="1"/>
        <v>101.96741282817057</v>
      </c>
    </row>
    <row r="49" spans="1:9" s="24" customFormat="1" x14ac:dyDescent="0.3">
      <c r="A49" s="42" t="s">
        <v>18</v>
      </c>
      <c r="B49" s="35" t="s">
        <v>135</v>
      </c>
      <c r="C49" s="74">
        <v>837.5</v>
      </c>
      <c r="D49" s="75">
        <v>1242.8579999999999</v>
      </c>
      <c r="E49" s="75">
        <v>1279.0450000000001</v>
      </c>
      <c r="F49" s="75">
        <f t="shared" si="10"/>
        <v>405.35799999999995</v>
      </c>
      <c r="G49" s="184">
        <f t="shared" si="0"/>
        <v>148.4009552238806</v>
      </c>
      <c r="H49" s="75">
        <f t="shared" si="3"/>
        <v>36.187000000000126</v>
      </c>
      <c r="I49" s="71">
        <f t="shared" si="1"/>
        <v>102.91159569315241</v>
      </c>
    </row>
    <row r="50" spans="1:9" s="24" customFormat="1" x14ac:dyDescent="0.3">
      <c r="A50" s="42" t="s">
        <v>19</v>
      </c>
      <c r="B50" s="35" t="s">
        <v>136</v>
      </c>
      <c r="C50" s="74">
        <v>884</v>
      </c>
      <c r="D50" s="75">
        <v>950.29899999999998</v>
      </c>
      <c r="E50" s="75">
        <v>963.47199999999998</v>
      </c>
      <c r="F50" s="75">
        <f t="shared" si="10"/>
        <v>66.298999999999978</v>
      </c>
      <c r="G50" s="184">
        <f t="shared" si="0"/>
        <v>107.49988687782806</v>
      </c>
      <c r="H50" s="75">
        <f t="shared" si="3"/>
        <v>13.173000000000002</v>
      </c>
      <c r="I50" s="71">
        <f t="shared" si="1"/>
        <v>101.38619529221855</v>
      </c>
    </row>
    <row r="51" spans="1:9" s="24" customFormat="1" x14ac:dyDescent="0.3">
      <c r="A51" s="42" t="s">
        <v>98</v>
      </c>
      <c r="B51" s="35" t="s">
        <v>137</v>
      </c>
      <c r="C51" s="74">
        <v>964</v>
      </c>
      <c r="D51" s="75">
        <v>981.82399999999996</v>
      </c>
      <c r="E51" s="75">
        <v>1001.835</v>
      </c>
      <c r="F51" s="75">
        <f t="shared" si="10"/>
        <v>17.823999999999955</v>
      </c>
      <c r="G51" s="184">
        <f t="shared" si="0"/>
        <v>101.84896265560167</v>
      </c>
      <c r="H51" s="75">
        <f t="shared" si="3"/>
        <v>20.011000000000081</v>
      </c>
      <c r="I51" s="71">
        <f t="shared" si="1"/>
        <v>102.03814532950916</v>
      </c>
    </row>
    <row r="52" spans="1:9" s="24" customFormat="1" x14ac:dyDescent="0.3">
      <c r="A52" s="42" t="s">
        <v>100</v>
      </c>
      <c r="B52" s="35" t="s">
        <v>138</v>
      </c>
      <c r="C52" s="74">
        <v>1827.5</v>
      </c>
      <c r="D52" s="75">
        <v>2464.4639999999999</v>
      </c>
      <c r="E52" s="75">
        <v>2530.0540000000001</v>
      </c>
      <c r="F52" s="75">
        <f t="shared" si="10"/>
        <v>636.96399999999994</v>
      </c>
      <c r="G52" s="184">
        <f t="shared" si="0"/>
        <v>134.85439124487004</v>
      </c>
      <c r="H52" s="75">
        <f t="shared" si="3"/>
        <v>65.590000000000146</v>
      </c>
      <c r="I52" s="71">
        <f t="shared" si="1"/>
        <v>102.66143063968474</v>
      </c>
    </row>
    <row r="53" spans="1:9" s="24" customFormat="1" x14ac:dyDescent="0.3">
      <c r="A53" s="42" t="s">
        <v>102</v>
      </c>
      <c r="B53" s="35" t="s">
        <v>303</v>
      </c>
      <c r="C53" s="74">
        <v>1067</v>
      </c>
      <c r="D53" s="75">
        <v>2254.1239999999998</v>
      </c>
      <c r="E53" s="75">
        <v>2260.1239999999998</v>
      </c>
      <c r="F53" s="75">
        <f t="shared" si="10"/>
        <v>1187.1239999999998</v>
      </c>
      <c r="G53" s="184">
        <f t="shared" si="0"/>
        <v>211.258106841612</v>
      </c>
      <c r="H53" s="75">
        <f t="shared" si="3"/>
        <v>6</v>
      </c>
      <c r="I53" s="71">
        <f t="shared" si="1"/>
        <v>100.26617879051906</v>
      </c>
    </row>
    <row r="54" spans="1:9" s="24" customFormat="1" x14ac:dyDescent="0.3">
      <c r="A54" s="42" t="s">
        <v>104</v>
      </c>
      <c r="B54" s="35" t="s">
        <v>139</v>
      </c>
      <c r="C54" s="74">
        <v>1245.5</v>
      </c>
      <c r="D54" s="75">
        <f>5192.727-3800</f>
        <v>1392.7269999999999</v>
      </c>
      <c r="E54" s="75">
        <f>5218.727-E76</f>
        <v>1418.7269999999999</v>
      </c>
      <c r="F54" s="75">
        <f t="shared" si="10"/>
        <v>147.22699999999986</v>
      </c>
      <c r="G54" s="184">
        <f t="shared" si="0"/>
        <v>111.82071457246086</v>
      </c>
      <c r="H54" s="75">
        <f t="shared" si="3"/>
        <v>26</v>
      </c>
      <c r="I54" s="71">
        <f t="shared" si="1"/>
        <v>101.8668410966399</v>
      </c>
    </row>
    <row r="55" spans="1:9" s="24" customFormat="1" x14ac:dyDescent="0.3">
      <c r="A55" s="42" t="s">
        <v>105</v>
      </c>
      <c r="B55" s="35" t="s">
        <v>304</v>
      </c>
      <c r="C55" s="74">
        <v>1055.5</v>
      </c>
      <c r="D55" s="75">
        <v>1221.377</v>
      </c>
      <c r="E55" s="75">
        <v>1227.377</v>
      </c>
      <c r="F55" s="75">
        <f t="shared" si="10"/>
        <v>165.87699999999995</v>
      </c>
      <c r="G55" s="184">
        <f t="shared" si="0"/>
        <v>115.71549028896257</v>
      </c>
      <c r="H55" s="75">
        <f t="shared" si="3"/>
        <v>6</v>
      </c>
      <c r="I55" s="71">
        <f t="shared" si="1"/>
        <v>100.49124881179195</v>
      </c>
    </row>
    <row r="56" spans="1:9" s="103" customFormat="1" ht="19.5" x14ac:dyDescent="0.35">
      <c r="A56" s="48" t="s">
        <v>75</v>
      </c>
      <c r="B56" s="40" t="s">
        <v>140</v>
      </c>
      <c r="C56" s="188">
        <f>SUM(C57:C61)</f>
        <v>4011.5</v>
      </c>
      <c r="D56" s="146">
        <f>SUM(D57:D61)</f>
        <v>4937.924</v>
      </c>
      <c r="E56" s="142">
        <f>SUM(E57:E61)</f>
        <v>5215.0219999999999</v>
      </c>
      <c r="F56" s="142">
        <f>SUM(F57:F61)</f>
        <v>926.42399999999998</v>
      </c>
      <c r="G56" s="181">
        <f t="shared" si="0"/>
        <v>123.09420416303129</v>
      </c>
      <c r="H56" s="146">
        <f>SUM(H57:H61)</f>
        <v>277.09800000000018</v>
      </c>
      <c r="I56" s="72">
        <f t="shared" si="1"/>
        <v>105.61162950260068</v>
      </c>
    </row>
    <row r="57" spans="1:9" s="24" customFormat="1" x14ac:dyDescent="0.3">
      <c r="A57" s="42" t="s">
        <v>22</v>
      </c>
      <c r="B57" s="35" t="s">
        <v>305</v>
      </c>
      <c r="C57" s="74">
        <v>873</v>
      </c>
      <c r="D57" s="75">
        <v>1009.053</v>
      </c>
      <c r="E57" s="75">
        <v>1201.453</v>
      </c>
      <c r="F57" s="75">
        <f>D57-C57</f>
        <v>136.053</v>
      </c>
      <c r="G57" s="184">
        <f t="shared" si="0"/>
        <v>115.58453608247423</v>
      </c>
      <c r="H57" s="75">
        <f t="shared" si="3"/>
        <v>192.39999999999998</v>
      </c>
      <c r="I57" s="71">
        <f t="shared" si="1"/>
        <v>119.06738298186517</v>
      </c>
    </row>
    <row r="58" spans="1:9" s="24" customFormat="1" x14ac:dyDescent="0.3">
      <c r="A58" s="42" t="s">
        <v>23</v>
      </c>
      <c r="B58" s="35" t="s">
        <v>306</v>
      </c>
      <c r="C58" s="74">
        <v>864</v>
      </c>
      <c r="D58" s="75">
        <v>1093.8699999999999</v>
      </c>
      <c r="E58" s="75">
        <v>1136.277</v>
      </c>
      <c r="F58" s="75">
        <f t="shared" ref="F58:F61" si="11">D58-C58</f>
        <v>229.86999999999989</v>
      </c>
      <c r="G58" s="184">
        <f t="shared" si="0"/>
        <v>126.60532407407405</v>
      </c>
      <c r="H58" s="75">
        <f t="shared" si="3"/>
        <v>42.407000000000153</v>
      </c>
      <c r="I58" s="71">
        <f t="shared" si="1"/>
        <v>103.87678608975475</v>
      </c>
    </row>
    <row r="59" spans="1:9" s="24" customFormat="1" x14ac:dyDescent="0.3">
      <c r="A59" s="42" t="s">
        <v>118</v>
      </c>
      <c r="B59" s="35" t="s">
        <v>141</v>
      </c>
      <c r="C59" s="74">
        <v>903.5</v>
      </c>
      <c r="D59" s="75">
        <v>925.72400000000005</v>
      </c>
      <c r="E59" s="75">
        <v>931.72400000000005</v>
      </c>
      <c r="F59" s="75">
        <f t="shared" si="11"/>
        <v>22.224000000000046</v>
      </c>
      <c r="G59" s="184">
        <f t="shared" si="0"/>
        <v>102.45976757055895</v>
      </c>
      <c r="H59" s="75">
        <f t="shared" si="3"/>
        <v>6</v>
      </c>
      <c r="I59" s="71">
        <f t="shared" si="1"/>
        <v>100.64814134666489</v>
      </c>
    </row>
    <row r="60" spans="1:9" s="24" customFormat="1" x14ac:dyDescent="0.3">
      <c r="A60" s="42" t="s">
        <v>11</v>
      </c>
      <c r="B60" s="35" t="s">
        <v>142</v>
      </c>
      <c r="C60" s="74">
        <v>862</v>
      </c>
      <c r="D60" s="75">
        <v>1285.7860000000001</v>
      </c>
      <c r="E60" s="75">
        <v>1291.7860000000001</v>
      </c>
      <c r="F60" s="75">
        <f t="shared" si="11"/>
        <v>423.78600000000006</v>
      </c>
      <c r="G60" s="184">
        <f t="shared" si="0"/>
        <v>149.1631090487239</v>
      </c>
      <c r="H60" s="75">
        <f t="shared" si="3"/>
        <v>6</v>
      </c>
      <c r="I60" s="71">
        <f t="shared" si="1"/>
        <v>100.46664063848883</v>
      </c>
    </row>
    <row r="61" spans="1:9" s="24" customFormat="1" x14ac:dyDescent="0.3">
      <c r="A61" s="42" t="s">
        <v>18</v>
      </c>
      <c r="B61" s="35" t="s">
        <v>143</v>
      </c>
      <c r="C61" s="74">
        <v>509</v>
      </c>
      <c r="D61" s="75">
        <v>623.49099999999999</v>
      </c>
      <c r="E61" s="75">
        <v>653.78200000000004</v>
      </c>
      <c r="F61" s="75">
        <f t="shared" si="11"/>
        <v>114.49099999999999</v>
      </c>
      <c r="G61" s="184">
        <f t="shared" si="0"/>
        <v>122.49332023575639</v>
      </c>
      <c r="H61" s="75">
        <f t="shared" si="3"/>
        <v>30.291000000000054</v>
      </c>
      <c r="I61" s="71">
        <f t="shared" si="1"/>
        <v>104.85828985502599</v>
      </c>
    </row>
    <row r="62" spans="1:9" s="103" customFormat="1" ht="19.5" x14ac:dyDescent="0.35">
      <c r="A62" s="48" t="s">
        <v>76</v>
      </c>
      <c r="B62" s="40" t="s">
        <v>145</v>
      </c>
      <c r="C62" s="188">
        <f>SUM(C63:C69)</f>
        <v>1358</v>
      </c>
      <c r="D62" s="146">
        <f>SUM(D63:D69)</f>
        <v>1380.3000000000002</v>
      </c>
      <c r="E62" s="146">
        <f>SUM(E63:E69)</f>
        <v>1465.9939999999999</v>
      </c>
      <c r="F62" s="146">
        <f>SUM(F63:F69)</f>
        <v>22.299999999999997</v>
      </c>
      <c r="G62" s="181">
        <f t="shared" si="0"/>
        <v>101.64212076583212</v>
      </c>
      <c r="H62" s="146">
        <f t="shared" ref="H62" si="12">SUM(H63:H69)</f>
        <v>85.694000000000045</v>
      </c>
      <c r="I62" s="72">
        <f t="shared" si="1"/>
        <v>106.20836050134027</v>
      </c>
    </row>
    <row r="63" spans="1:9" s="24" customFormat="1" x14ac:dyDescent="0.3">
      <c r="A63" s="42" t="s">
        <v>22</v>
      </c>
      <c r="B63" s="35" t="s">
        <v>307</v>
      </c>
      <c r="C63" s="74">
        <v>266.5</v>
      </c>
      <c r="D63" s="41">
        <v>267.7</v>
      </c>
      <c r="E63" s="41">
        <v>321.85000000000002</v>
      </c>
      <c r="F63" s="41">
        <f>D63-C63</f>
        <v>1.1999999999999886</v>
      </c>
      <c r="G63" s="184">
        <f t="shared" si="0"/>
        <v>100.45028142589119</v>
      </c>
      <c r="H63" s="75">
        <f t="shared" si="3"/>
        <v>54.150000000000034</v>
      </c>
      <c r="I63" s="71">
        <f t="shared" si="1"/>
        <v>120.22786701531567</v>
      </c>
    </row>
    <row r="64" spans="1:9" s="24" customFormat="1" x14ac:dyDescent="0.3">
      <c r="A64" s="42" t="s">
        <v>23</v>
      </c>
      <c r="B64" s="35" t="s">
        <v>308</v>
      </c>
      <c r="C64" s="74">
        <v>65</v>
      </c>
      <c r="D64" s="41">
        <v>65</v>
      </c>
      <c r="E64" s="41">
        <v>65</v>
      </c>
      <c r="F64" s="41">
        <f t="shared" ref="F64:F69" si="13">D64-C64</f>
        <v>0</v>
      </c>
      <c r="G64" s="184">
        <f t="shared" si="0"/>
        <v>100</v>
      </c>
      <c r="H64" s="75">
        <f t="shared" si="3"/>
        <v>0</v>
      </c>
      <c r="I64" s="71">
        <f t="shared" si="1"/>
        <v>100</v>
      </c>
    </row>
    <row r="65" spans="1:9" s="24" customFormat="1" x14ac:dyDescent="0.3">
      <c r="A65" s="42" t="s">
        <v>118</v>
      </c>
      <c r="B65" s="35" t="s">
        <v>309</v>
      </c>
      <c r="C65" s="74">
        <v>704</v>
      </c>
      <c r="D65" s="41">
        <v>705</v>
      </c>
      <c r="E65" s="41">
        <v>709</v>
      </c>
      <c r="F65" s="41">
        <f t="shared" si="13"/>
        <v>1</v>
      </c>
      <c r="G65" s="184">
        <f t="shared" si="0"/>
        <v>100.14204545454545</v>
      </c>
      <c r="H65" s="75">
        <f t="shared" si="3"/>
        <v>4</v>
      </c>
      <c r="I65" s="71">
        <f t="shared" si="1"/>
        <v>100.56737588652483</v>
      </c>
    </row>
    <row r="66" spans="1:9" s="24" customFormat="1" x14ac:dyDescent="0.3">
      <c r="A66" s="42" t="s">
        <v>11</v>
      </c>
      <c r="B66" s="35" t="s">
        <v>146</v>
      </c>
      <c r="C66" s="74">
        <v>51</v>
      </c>
      <c r="D66" s="41">
        <v>51.9</v>
      </c>
      <c r="E66" s="41">
        <v>97.444000000000003</v>
      </c>
      <c r="F66" s="41">
        <f t="shared" si="13"/>
        <v>0.89999999999999858</v>
      </c>
      <c r="G66" s="184">
        <f t="shared" si="0"/>
        <v>101.76470588235293</v>
      </c>
      <c r="H66" s="75">
        <f>E66-D66</f>
        <v>45.544000000000004</v>
      </c>
      <c r="I66" s="71">
        <f t="shared" si="1"/>
        <v>187.75337186897883</v>
      </c>
    </row>
    <row r="67" spans="1:9" s="24" customFormat="1" x14ac:dyDescent="0.3">
      <c r="A67" s="42" t="s">
        <v>18</v>
      </c>
      <c r="B67" s="35" t="s">
        <v>147</v>
      </c>
      <c r="C67" s="74">
        <v>1</v>
      </c>
      <c r="D67" s="41">
        <v>0</v>
      </c>
      <c r="E67" s="41">
        <v>0</v>
      </c>
      <c r="F67" s="192">
        <f t="shared" si="13"/>
        <v>-1</v>
      </c>
      <c r="G67" s="184">
        <f t="shared" si="0"/>
        <v>0</v>
      </c>
      <c r="H67" s="75">
        <f>E67-D67</f>
        <v>0</v>
      </c>
      <c r="I67" s="71">
        <v>0</v>
      </c>
    </row>
    <row r="68" spans="1:9" s="24" customFormat="1" x14ac:dyDescent="0.3">
      <c r="A68" s="42" t="s">
        <v>19</v>
      </c>
      <c r="B68" s="35" t="s">
        <v>263</v>
      </c>
      <c r="C68" s="74">
        <v>31</v>
      </c>
      <c r="D68" s="54">
        <v>49.9</v>
      </c>
      <c r="E68" s="54">
        <v>31.9</v>
      </c>
      <c r="F68" s="41">
        <f t="shared" si="13"/>
        <v>18.899999999999999</v>
      </c>
      <c r="G68" s="184">
        <f t="shared" si="0"/>
        <v>160.96774193548387</v>
      </c>
      <c r="H68" s="75">
        <f t="shared" si="3"/>
        <v>-18</v>
      </c>
      <c r="I68" s="71">
        <f t="shared" si="1"/>
        <v>63.927855711422843</v>
      </c>
    </row>
    <row r="69" spans="1:9" s="24" customFormat="1" x14ac:dyDescent="0.3">
      <c r="A69" s="42" t="s">
        <v>98</v>
      </c>
      <c r="B69" s="35" t="s">
        <v>310</v>
      </c>
      <c r="C69" s="74">
        <v>239.5</v>
      </c>
      <c r="D69" s="54">
        <v>240.8</v>
      </c>
      <c r="E69" s="54">
        <v>240.8</v>
      </c>
      <c r="F69" s="41">
        <f t="shared" si="13"/>
        <v>1.3000000000000114</v>
      </c>
      <c r="G69" s="184">
        <f t="shared" si="0"/>
        <v>100.54279749478079</v>
      </c>
      <c r="H69" s="75">
        <f t="shared" si="3"/>
        <v>0</v>
      </c>
      <c r="I69" s="71">
        <f t="shared" si="1"/>
        <v>100</v>
      </c>
    </row>
    <row r="70" spans="1:9" s="103" customFormat="1" ht="19.5" x14ac:dyDescent="0.35">
      <c r="A70" s="113" t="s">
        <v>152</v>
      </c>
      <c r="B70" s="40" t="s">
        <v>149</v>
      </c>
      <c r="C70" s="171">
        <v>11471</v>
      </c>
      <c r="D70" s="137">
        <v>13337.537</v>
      </c>
      <c r="E70" s="137">
        <v>13388.996999999999</v>
      </c>
      <c r="F70" s="137">
        <f>D70-C70</f>
        <v>1866.5370000000003</v>
      </c>
      <c r="G70" s="181">
        <f t="shared" si="0"/>
        <v>116.27178973062506</v>
      </c>
      <c r="H70" s="137">
        <f t="shared" si="3"/>
        <v>51.459999999999127</v>
      </c>
      <c r="I70" s="148">
        <f t="shared" si="1"/>
        <v>100.38582835796444</v>
      </c>
    </row>
    <row r="71" spans="1:9" s="103" customFormat="1" ht="19.5" x14ac:dyDescent="0.35">
      <c r="A71" s="113" t="s">
        <v>156</v>
      </c>
      <c r="B71" s="40" t="s">
        <v>151</v>
      </c>
      <c r="C71" s="171">
        <v>1106</v>
      </c>
      <c r="D71" s="137">
        <v>1231.4000000000001</v>
      </c>
      <c r="E71" s="137">
        <v>1617.537</v>
      </c>
      <c r="F71" s="137">
        <f>D71-C71</f>
        <v>125.40000000000009</v>
      </c>
      <c r="G71" s="181">
        <f t="shared" si="0"/>
        <v>111.33815551537072</v>
      </c>
      <c r="H71" s="137">
        <f t="shared" si="3"/>
        <v>386.13699999999994</v>
      </c>
      <c r="I71" s="148">
        <f t="shared" si="1"/>
        <v>131.35756050024361</v>
      </c>
    </row>
    <row r="72" spans="1:9" s="103" customFormat="1" ht="19.5" x14ac:dyDescent="0.35">
      <c r="A72" s="113" t="s">
        <v>148</v>
      </c>
      <c r="B72" s="40" t="s">
        <v>153</v>
      </c>
      <c r="C72" s="147">
        <f>SUM(C73:C74)</f>
        <v>5572</v>
      </c>
      <c r="D72" s="147">
        <f>SUM(D73:D74)</f>
        <v>13218.18</v>
      </c>
      <c r="E72" s="149">
        <f>SUM(E73:E74)</f>
        <v>14931.602999999999</v>
      </c>
      <c r="F72" s="149">
        <f>SUM(F73:F74)</f>
        <v>7646.18</v>
      </c>
      <c r="G72" s="181">
        <f t="shared" si="0"/>
        <v>237.22505384063174</v>
      </c>
      <c r="H72" s="137">
        <f t="shared" si="3"/>
        <v>1713.4229999999989</v>
      </c>
      <c r="I72" s="148">
        <f t="shared" si="1"/>
        <v>112.9626242039373</v>
      </c>
    </row>
    <row r="73" spans="1:9" s="24" customFormat="1" x14ac:dyDescent="0.3">
      <c r="A73" s="44" t="s">
        <v>22</v>
      </c>
      <c r="B73" s="35" t="s">
        <v>154</v>
      </c>
      <c r="C73" s="74">
        <v>322</v>
      </c>
      <c r="D73" s="75">
        <v>695.94399999999996</v>
      </c>
      <c r="E73" s="75">
        <v>846.79100000000005</v>
      </c>
      <c r="F73" s="75">
        <f>D73-C73</f>
        <v>373.94399999999996</v>
      </c>
      <c r="G73" s="184">
        <f t="shared" ref="G73:G77" si="14">D73/C73*100</f>
        <v>216.13167701863352</v>
      </c>
      <c r="H73" s="75">
        <f>E73-D73</f>
        <v>150.84700000000009</v>
      </c>
      <c r="I73" s="145">
        <f t="shared" si="1"/>
        <v>121.67516351890384</v>
      </c>
    </row>
    <row r="74" spans="1:9" s="24" customFormat="1" x14ac:dyDescent="0.3">
      <c r="A74" s="44" t="s">
        <v>23</v>
      </c>
      <c r="B74" s="35" t="s">
        <v>155</v>
      </c>
      <c r="C74" s="74">
        <v>5250</v>
      </c>
      <c r="D74" s="75">
        <v>12522.236000000001</v>
      </c>
      <c r="E74" s="75">
        <v>14084.812</v>
      </c>
      <c r="F74" s="75">
        <f>D74-C74</f>
        <v>7272.2360000000008</v>
      </c>
      <c r="G74" s="184">
        <f t="shared" si="14"/>
        <v>238.51878095238095</v>
      </c>
      <c r="H74" s="75">
        <f t="shared" si="3"/>
        <v>1562.5759999999991</v>
      </c>
      <c r="I74" s="145">
        <f t="shared" si="1"/>
        <v>112.47841040529822</v>
      </c>
    </row>
    <row r="75" spans="1:9" s="103" customFormat="1" ht="19.5" x14ac:dyDescent="0.35">
      <c r="A75" s="113" t="s">
        <v>150</v>
      </c>
      <c r="B75" s="40" t="s">
        <v>157</v>
      </c>
      <c r="C75" s="171">
        <v>18900</v>
      </c>
      <c r="D75" s="136">
        <v>12910.545</v>
      </c>
      <c r="E75" s="136">
        <v>7736.1109999999999</v>
      </c>
      <c r="F75" s="186">
        <f>D75-C75</f>
        <v>-5989.4549999999999</v>
      </c>
      <c r="G75" s="181">
        <f t="shared" si="14"/>
        <v>68.309761904761899</v>
      </c>
      <c r="H75" s="137">
        <f t="shared" si="3"/>
        <v>-5174.4340000000002</v>
      </c>
      <c r="I75" s="148">
        <f t="shared" si="1"/>
        <v>59.920870885001364</v>
      </c>
    </row>
    <row r="76" spans="1:9" s="103" customFormat="1" ht="19.5" x14ac:dyDescent="0.35">
      <c r="A76" s="113" t="s">
        <v>161</v>
      </c>
      <c r="B76" s="40" t="s">
        <v>158</v>
      </c>
      <c r="C76" s="171">
        <v>3800</v>
      </c>
      <c r="D76" s="149">
        <v>3800</v>
      </c>
      <c r="E76" s="149">
        <v>3800</v>
      </c>
      <c r="F76" s="136">
        <f t="shared" ref="F76:F77" si="15">D76-C76</f>
        <v>0</v>
      </c>
      <c r="G76" s="181">
        <f t="shared" si="14"/>
        <v>100</v>
      </c>
      <c r="H76" s="137">
        <f t="shared" si="3"/>
        <v>0</v>
      </c>
      <c r="I76" s="148">
        <f t="shared" si="1"/>
        <v>100</v>
      </c>
    </row>
    <row r="77" spans="1:9" s="103" customFormat="1" ht="19.5" x14ac:dyDescent="0.35">
      <c r="A77" s="113" t="s">
        <v>162</v>
      </c>
      <c r="B77" s="40" t="s">
        <v>159</v>
      </c>
      <c r="C77" s="171">
        <v>11780</v>
      </c>
      <c r="D77" s="137">
        <v>7072.067</v>
      </c>
      <c r="E77" s="137">
        <v>5793.2</v>
      </c>
      <c r="F77" s="186">
        <f t="shared" si="15"/>
        <v>-4707.933</v>
      </c>
      <c r="G77" s="181">
        <f t="shared" si="14"/>
        <v>60.03452461799661</v>
      </c>
      <c r="H77" s="137">
        <f t="shared" si="3"/>
        <v>-1278.8670000000002</v>
      </c>
      <c r="I77" s="148">
        <f t="shared" si="1"/>
        <v>81.91664473767004</v>
      </c>
    </row>
    <row r="78" spans="1:9" ht="18" customHeight="1" x14ac:dyDescent="0.3">
      <c r="E78" s="63"/>
      <c r="F78" s="63"/>
      <c r="G78" s="63"/>
      <c r="H78" s="63"/>
    </row>
    <row r="79" spans="1:9" ht="18" customHeight="1" x14ac:dyDescent="0.3">
      <c r="E79" s="64"/>
      <c r="F79" s="64"/>
      <c r="G79" s="64"/>
      <c r="H79" s="63"/>
    </row>
    <row r="80" spans="1:9" ht="18" customHeight="1" x14ac:dyDescent="0.3">
      <c r="E80" s="65"/>
      <c r="F80" s="65"/>
      <c r="G80" s="65"/>
      <c r="H80" s="63"/>
    </row>
    <row r="81" spans="5:8" ht="18" customHeight="1" x14ac:dyDescent="0.3">
      <c r="E81" s="65"/>
      <c r="F81" s="65"/>
      <c r="G81" s="65"/>
      <c r="H81" s="63"/>
    </row>
    <row r="82" spans="5:8" ht="18" customHeight="1" x14ac:dyDescent="0.3">
      <c r="E82" s="66"/>
      <c r="F82" s="66"/>
      <c r="G82" s="66"/>
      <c r="H82" s="63"/>
    </row>
    <row r="83" spans="5:8" ht="18" customHeight="1" x14ac:dyDescent="0.3">
      <c r="E83" s="66"/>
      <c r="F83" s="66"/>
      <c r="G83" s="66"/>
      <c r="H83" s="63"/>
    </row>
    <row r="84" spans="5:8" ht="18" customHeight="1" x14ac:dyDescent="0.3">
      <c r="E84" s="63"/>
      <c r="F84" s="63"/>
      <c r="G84" s="63"/>
      <c r="H84" s="63"/>
    </row>
    <row r="85" spans="5:8" ht="18" customHeight="1" x14ac:dyDescent="0.3">
      <c r="E85" s="63"/>
      <c r="F85" s="63"/>
      <c r="G85" s="63"/>
      <c r="H85" s="63"/>
    </row>
    <row r="86" spans="5:8" ht="18" customHeight="1" x14ac:dyDescent="0.3">
      <c r="E86" s="63"/>
      <c r="F86" s="63"/>
      <c r="G86" s="63"/>
      <c r="H86" s="63"/>
    </row>
    <row r="87" spans="5:8" ht="18" customHeight="1" x14ac:dyDescent="0.3">
      <c r="E87" s="63"/>
      <c r="F87" s="63"/>
      <c r="G87" s="63"/>
      <c r="H87" s="63"/>
    </row>
    <row r="88" spans="5:8" ht="18" customHeight="1" x14ac:dyDescent="0.3">
      <c r="E88" s="63"/>
      <c r="F88" s="63"/>
      <c r="G88" s="63"/>
      <c r="H88" s="63"/>
    </row>
    <row r="89" spans="5:8" ht="18" customHeight="1" x14ac:dyDescent="0.3">
      <c r="E89" s="63"/>
      <c r="F89" s="63"/>
      <c r="G89" s="63"/>
      <c r="H89" s="63"/>
    </row>
    <row r="90" spans="5:8" ht="18" customHeight="1" x14ac:dyDescent="0.3">
      <c r="E90" s="63"/>
      <c r="F90" s="63"/>
      <c r="G90" s="63"/>
      <c r="H90" s="63"/>
    </row>
    <row r="91" spans="5:8" ht="18" customHeight="1" x14ac:dyDescent="0.3">
      <c r="E91" s="63"/>
      <c r="F91" s="63"/>
      <c r="G91" s="63"/>
      <c r="H91" s="63"/>
    </row>
    <row r="92" spans="5:8" ht="18" customHeight="1" x14ac:dyDescent="0.3">
      <c r="E92" s="63"/>
      <c r="F92" s="63"/>
      <c r="G92" s="63"/>
      <c r="H92" s="63"/>
    </row>
    <row r="93" spans="5:8" ht="18" customHeight="1" x14ac:dyDescent="0.3">
      <c r="E93" s="63"/>
      <c r="F93" s="63"/>
      <c r="G93" s="63"/>
      <c r="H93" s="63"/>
    </row>
    <row r="94" spans="5:8" ht="18" customHeight="1" x14ac:dyDescent="0.3">
      <c r="E94" s="63"/>
      <c r="F94" s="63"/>
      <c r="G94" s="63"/>
      <c r="H94" s="63"/>
    </row>
    <row r="95" spans="5:8" ht="18" customHeight="1" x14ac:dyDescent="0.3">
      <c r="E95" s="63"/>
      <c r="F95" s="63"/>
      <c r="G95" s="63"/>
      <c r="H95" s="63"/>
    </row>
    <row r="96" spans="5:8" ht="18" customHeight="1" x14ac:dyDescent="0.3">
      <c r="E96" s="63"/>
      <c r="F96" s="63"/>
      <c r="G96" s="63"/>
      <c r="H96" s="63"/>
    </row>
    <row r="97" spans="5:8" ht="18" customHeight="1" x14ac:dyDescent="0.3">
      <c r="E97" s="63"/>
      <c r="F97" s="63"/>
      <c r="G97" s="63"/>
      <c r="H97" s="63"/>
    </row>
    <row r="98" spans="5:8" ht="18" customHeight="1" x14ac:dyDescent="0.3">
      <c r="E98" s="63"/>
      <c r="F98" s="63"/>
      <c r="G98" s="63"/>
      <c r="H98" s="63"/>
    </row>
    <row r="99" spans="5:8" ht="18" customHeight="1" x14ac:dyDescent="0.3">
      <c r="E99" s="63"/>
      <c r="F99" s="63"/>
      <c r="G99" s="63"/>
      <c r="H99" s="63"/>
    </row>
    <row r="100" spans="5:8" ht="18" customHeight="1" x14ac:dyDescent="0.3">
      <c r="E100" s="63"/>
      <c r="F100" s="63"/>
      <c r="G100" s="63"/>
      <c r="H100" s="63"/>
    </row>
    <row r="101" spans="5:8" ht="18" customHeight="1" x14ac:dyDescent="0.3">
      <c r="E101" s="63"/>
      <c r="F101" s="63"/>
      <c r="G101" s="63"/>
      <c r="H101" s="63"/>
    </row>
    <row r="102" spans="5:8" ht="18" customHeight="1" x14ac:dyDescent="0.3">
      <c r="E102" s="63"/>
      <c r="F102" s="63"/>
      <c r="G102" s="63"/>
      <c r="H102" s="63"/>
    </row>
    <row r="103" spans="5:8" ht="18" customHeight="1" x14ac:dyDescent="0.3">
      <c r="E103" s="63"/>
      <c r="F103" s="63"/>
      <c r="G103" s="63"/>
      <c r="H103" s="63"/>
    </row>
    <row r="104" spans="5:8" ht="18" customHeight="1" x14ac:dyDescent="0.3">
      <c r="E104" s="63"/>
      <c r="F104" s="63"/>
      <c r="G104" s="63"/>
      <c r="H104" s="63"/>
    </row>
    <row r="105" spans="5:8" ht="18" customHeight="1" x14ac:dyDescent="0.3">
      <c r="E105" s="63"/>
      <c r="F105" s="63"/>
      <c r="G105" s="63"/>
      <c r="H105" s="63"/>
    </row>
    <row r="106" spans="5:8" ht="18" customHeight="1" x14ac:dyDescent="0.3">
      <c r="E106" s="63"/>
      <c r="F106" s="63"/>
      <c r="G106" s="63"/>
      <c r="H106" s="63"/>
    </row>
    <row r="107" spans="5:8" ht="18" customHeight="1" x14ac:dyDescent="0.3">
      <c r="E107" s="63"/>
      <c r="F107" s="63"/>
      <c r="G107" s="63"/>
      <c r="H107" s="63"/>
    </row>
    <row r="108" spans="5:8" ht="18" customHeight="1" x14ac:dyDescent="0.3">
      <c r="E108" s="63"/>
      <c r="F108" s="63"/>
      <c r="G108" s="63"/>
      <c r="H108" s="63"/>
    </row>
    <row r="109" spans="5:8" ht="18" customHeight="1" x14ac:dyDescent="0.3">
      <c r="E109" s="63"/>
      <c r="F109" s="63"/>
      <c r="G109" s="63"/>
      <c r="H109" s="63"/>
    </row>
    <row r="110" spans="5:8" ht="18" customHeight="1" x14ac:dyDescent="0.3">
      <c r="E110" s="63"/>
      <c r="F110" s="63"/>
      <c r="G110" s="63"/>
      <c r="H110" s="63"/>
    </row>
    <row r="111" spans="5:8" ht="18" customHeight="1" x14ac:dyDescent="0.3">
      <c r="E111" s="63"/>
      <c r="F111" s="63"/>
      <c r="G111" s="63"/>
      <c r="H111" s="63"/>
    </row>
    <row r="112" spans="5:8" ht="18" customHeight="1" x14ac:dyDescent="0.3">
      <c r="E112" s="63"/>
      <c r="F112" s="63"/>
      <c r="G112" s="63"/>
      <c r="H112" s="63"/>
    </row>
    <row r="113" spans="5:8" ht="18" customHeight="1" x14ac:dyDescent="0.3">
      <c r="E113" s="63"/>
      <c r="F113" s="63"/>
      <c r="G113" s="63"/>
      <c r="H113" s="63"/>
    </row>
    <row r="114" spans="5:8" ht="18" customHeight="1" x14ac:dyDescent="0.3">
      <c r="E114" s="63"/>
      <c r="F114" s="63"/>
      <c r="G114" s="63"/>
      <c r="H114" s="63"/>
    </row>
    <row r="115" spans="5:8" ht="18" customHeight="1" x14ac:dyDescent="0.3">
      <c r="E115" s="63"/>
      <c r="F115" s="63"/>
      <c r="G115" s="63"/>
      <c r="H115" s="63"/>
    </row>
    <row r="116" spans="5:8" ht="18" customHeight="1" x14ac:dyDescent="0.3">
      <c r="E116" s="63"/>
      <c r="F116" s="63"/>
      <c r="G116" s="63"/>
      <c r="H116" s="63"/>
    </row>
    <row r="117" spans="5:8" ht="18" customHeight="1" x14ac:dyDescent="0.3">
      <c r="E117" s="63"/>
      <c r="F117" s="63"/>
      <c r="G117" s="63"/>
      <c r="H117" s="63"/>
    </row>
    <row r="118" spans="5:8" ht="18" customHeight="1" x14ac:dyDescent="0.3">
      <c r="E118" s="63"/>
      <c r="F118" s="63"/>
      <c r="G118" s="63"/>
      <c r="H118" s="63"/>
    </row>
    <row r="119" spans="5:8" ht="18" customHeight="1" x14ac:dyDescent="0.3">
      <c r="E119" s="63"/>
      <c r="F119" s="63"/>
      <c r="G119" s="63"/>
      <c r="H119" s="63"/>
    </row>
    <row r="120" spans="5:8" ht="18" customHeight="1" x14ac:dyDescent="0.3">
      <c r="E120" s="63"/>
      <c r="F120" s="63"/>
      <c r="G120" s="63"/>
      <c r="H120" s="63"/>
    </row>
    <row r="121" spans="5:8" ht="18" customHeight="1" x14ac:dyDescent="0.3">
      <c r="E121" s="63"/>
      <c r="F121" s="63"/>
      <c r="G121" s="63"/>
      <c r="H121" s="63"/>
    </row>
    <row r="122" spans="5:8" ht="18" customHeight="1" x14ac:dyDescent="0.3">
      <c r="E122" s="63"/>
      <c r="F122" s="63"/>
      <c r="G122" s="63"/>
      <c r="H122" s="63"/>
    </row>
    <row r="123" spans="5:8" ht="18" customHeight="1" x14ac:dyDescent="0.3"/>
    <row r="124" spans="5:8" ht="18" customHeight="1" x14ac:dyDescent="0.3"/>
    <row r="125" spans="5:8" ht="18" customHeight="1" x14ac:dyDescent="0.3"/>
    <row r="126" spans="5:8" ht="18" customHeight="1" x14ac:dyDescent="0.3"/>
    <row r="127" spans="5:8" ht="18" customHeight="1" x14ac:dyDescent="0.3"/>
    <row r="128" spans="5: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row r="135" ht="18" customHeight="1" x14ac:dyDescent="0.3"/>
    <row r="136" ht="18" customHeight="1" x14ac:dyDescent="0.3"/>
    <row r="137" ht="18" customHeight="1" x14ac:dyDescent="0.3"/>
    <row r="138" ht="18" customHeight="1" x14ac:dyDescent="0.3"/>
  </sheetData>
  <mergeCells count="11">
    <mergeCell ref="H1:I1"/>
    <mergeCell ref="H4:I4"/>
    <mergeCell ref="H5:I5"/>
    <mergeCell ref="A2:I2"/>
    <mergeCell ref="A3:I3"/>
    <mergeCell ref="A5:A6"/>
    <mergeCell ref="B5:B6"/>
    <mergeCell ref="D5:D6"/>
    <mergeCell ref="E5:E6"/>
    <mergeCell ref="C5:C6"/>
    <mergeCell ref="F5:G5"/>
  </mergeCells>
  <phoneticPr fontId="3" type="noConversion"/>
  <printOptions horizontalCentered="1"/>
  <pageMargins left="0.24" right="0.15748031496063" top="0.25" bottom="0.56000000000000005" header="0.2" footer="0.27559055118110198"/>
  <pageSetup paperSize="9" scale="85" orientation="landscape" verticalDpi="0" r:id="rId1"/>
  <headerFooter alignWithMargins="0">
    <oddFooter>&amp;F&amp;RPage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workbookViewId="0">
      <selection activeCell="D9" sqref="D9"/>
    </sheetView>
  </sheetViews>
  <sheetFormatPr defaultColWidth="9.140625" defaultRowHeight="18.75" x14ac:dyDescent="0.3"/>
  <cols>
    <col min="1" max="1" width="5.42578125" style="22" customWidth="1"/>
    <col min="2" max="2" width="46.85546875" style="22" customWidth="1"/>
    <col min="3" max="3" width="16.7109375" style="22" customWidth="1"/>
    <col min="4" max="4" width="16.7109375" style="30" customWidth="1"/>
    <col min="5" max="5" width="16.7109375" style="22" customWidth="1"/>
    <col min="6" max="16384" width="9.140625" style="22"/>
  </cols>
  <sheetData>
    <row r="1" spans="1:6" x14ac:dyDescent="0.3">
      <c r="D1" s="227" t="s">
        <v>291</v>
      </c>
      <c r="E1" s="227"/>
    </row>
    <row r="2" spans="1:6" ht="18.75" customHeight="1" x14ac:dyDescent="0.3">
      <c r="A2" s="208" t="s">
        <v>244</v>
      </c>
      <c r="B2" s="208"/>
      <c r="C2" s="208"/>
      <c r="D2" s="208"/>
      <c r="E2" s="208"/>
    </row>
    <row r="3" spans="1:6" x14ac:dyDescent="0.3">
      <c r="A3" s="226" t="str">
        <f>'bieu 12 (PL05)'!A3:I3</f>
        <v>(Kèm theo Tờ trình số:         /TTr-UBND ngày      tháng 8 năm 2024 của UBND huyện Phụng Hiệp)</v>
      </c>
      <c r="B3" s="226"/>
      <c r="C3" s="226"/>
      <c r="D3" s="226"/>
      <c r="E3" s="226"/>
    </row>
    <row r="4" spans="1:6" ht="19.5" x14ac:dyDescent="0.35">
      <c r="A4" s="108"/>
      <c r="B4" s="107"/>
      <c r="C4" s="107"/>
      <c r="D4" s="56"/>
      <c r="E4" s="107"/>
    </row>
    <row r="5" spans="1:6" ht="18.75" customHeight="1" x14ac:dyDescent="0.3">
      <c r="D5" s="228" t="s">
        <v>12</v>
      </c>
      <c r="E5" s="228"/>
    </row>
    <row r="6" spans="1:6" s="87" customFormat="1" ht="19.5" customHeight="1" x14ac:dyDescent="0.2">
      <c r="A6" s="212" t="s">
        <v>3</v>
      </c>
      <c r="B6" s="212" t="s">
        <v>26</v>
      </c>
      <c r="C6" s="210" t="s">
        <v>270</v>
      </c>
      <c r="D6" s="210" t="s">
        <v>272</v>
      </c>
      <c r="E6" s="210" t="s">
        <v>271</v>
      </c>
    </row>
    <row r="7" spans="1:6" s="174" customFormat="1" ht="66.599999999999994" customHeight="1" x14ac:dyDescent="0.2">
      <c r="A7" s="212"/>
      <c r="B7" s="212"/>
      <c r="C7" s="211"/>
      <c r="D7" s="211"/>
      <c r="E7" s="211"/>
    </row>
    <row r="8" spans="1:6" s="47" customFormat="1" ht="24.95" customHeight="1" x14ac:dyDescent="0.3">
      <c r="A8" s="110" t="s">
        <v>22</v>
      </c>
      <c r="B8" s="110" t="s">
        <v>23</v>
      </c>
      <c r="C8" s="110" t="s">
        <v>118</v>
      </c>
      <c r="D8" s="110" t="s">
        <v>11</v>
      </c>
      <c r="E8" s="110" t="s">
        <v>18</v>
      </c>
    </row>
    <row r="9" spans="1:6" ht="24.95" customHeight="1" x14ac:dyDescent="0.3">
      <c r="A9" s="150"/>
      <c r="B9" s="40" t="s">
        <v>188</v>
      </c>
      <c r="C9" s="151">
        <f>C10+C19+C20+C21</f>
        <v>767562</v>
      </c>
      <c r="D9" s="151">
        <f>D10+D19+D20+D21</f>
        <v>951837.68596899998</v>
      </c>
      <c r="E9" s="151">
        <f>E10+E19+E20+E21</f>
        <v>1025436.105969</v>
      </c>
      <c r="F9" s="63"/>
    </row>
    <row r="10" spans="1:6" s="23" customFormat="1" ht="24.95" customHeight="1" x14ac:dyDescent="0.3">
      <c r="A10" s="113" t="s">
        <v>30</v>
      </c>
      <c r="B10" s="40" t="s">
        <v>189</v>
      </c>
      <c r="C10" s="152">
        <f>SUM(C11:C18)</f>
        <v>114010</v>
      </c>
      <c r="D10" s="152">
        <f>SUM(D11:D18)</f>
        <v>114010</v>
      </c>
      <c r="E10" s="152">
        <f>SUM(E11:E18)</f>
        <v>183810</v>
      </c>
    </row>
    <row r="11" spans="1:6" s="24" customFormat="1" ht="44.45" customHeight="1" x14ac:dyDescent="0.3">
      <c r="A11" s="197">
        <v>1</v>
      </c>
      <c r="B11" s="198" t="s">
        <v>190</v>
      </c>
      <c r="C11" s="199">
        <v>49900</v>
      </c>
      <c r="D11" s="200">
        <v>49900</v>
      </c>
      <c r="E11" s="200">
        <f>D11</f>
        <v>49900</v>
      </c>
    </row>
    <row r="12" spans="1:6" ht="24.95" customHeight="1" x14ac:dyDescent="0.3">
      <c r="A12" s="61">
        <v>2</v>
      </c>
      <c r="B12" s="35" t="s">
        <v>191</v>
      </c>
      <c r="C12" s="74">
        <v>25610</v>
      </c>
      <c r="D12" s="154">
        <v>25610</v>
      </c>
      <c r="E12" s="153">
        <f t="shared" ref="E12:E18" si="0">D12</f>
        <v>25610</v>
      </c>
    </row>
    <row r="13" spans="1:6" ht="24.95" customHeight="1" x14ac:dyDescent="0.3">
      <c r="A13" s="44" t="s">
        <v>118</v>
      </c>
      <c r="B13" s="35" t="s">
        <v>62</v>
      </c>
      <c r="C13" s="74">
        <v>3500</v>
      </c>
      <c r="D13" s="154">
        <f>3500</f>
        <v>3500</v>
      </c>
      <c r="E13" s="153">
        <f>D13+69800</f>
        <v>73300</v>
      </c>
    </row>
    <row r="14" spans="1:6" s="24" customFormat="1" ht="24.95" customHeight="1" x14ac:dyDescent="0.3">
      <c r="A14" s="44" t="s">
        <v>11</v>
      </c>
      <c r="B14" s="35" t="s">
        <v>192</v>
      </c>
      <c r="C14" s="74">
        <v>24000</v>
      </c>
      <c r="D14" s="154">
        <v>24000</v>
      </c>
      <c r="E14" s="153">
        <f t="shared" si="0"/>
        <v>24000</v>
      </c>
    </row>
    <row r="15" spans="1:6" s="24" customFormat="1" ht="24.95" customHeight="1" x14ac:dyDescent="0.3">
      <c r="A15" s="44" t="s">
        <v>18</v>
      </c>
      <c r="B15" s="35" t="s">
        <v>193</v>
      </c>
      <c r="C15" s="74">
        <v>5300</v>
      </c>
      <c r="D15" s="154">
        <v>5300</v>
      </c>
      <c r="E15" s="153">
        <f t="shared" si="0"/>
        <v>5300</v>
      </c>
    </row>
    <row r="16" spans="1:6" s="24" customFormat="1" ht="24.95" customHeight="1" x14ac:dyDescent="0.3">
      <c r="A16" s="44" t="s">
        <v>19</v>
      </c>
      <c r="B16" s="35" t="s">
        <v>83</v>
      </c>
      <c r="C16" s="74">
        <v>2300</v>
      </c>
      <c r="D16" s="154">
        <v>2300</v>
      </c>
      <c r="E16" s="153">
        <f t="shared" si="0"/>
        <v>2300</v>
      </c>
    </row>
    <row r="17" spans="1:8" s="24" customFormat="1" ht="24.95" customHeight="1" x14ac:dyDescent="0.3">
      <c r="A17" s="44" t="s">
        <v>98</v>
      </c>
      <c r="B17" s="35" t="s">
        <v>200</v>
      </c>
      <c r="C17" s="74">
        <v>400</v>
      </c>
      <c r="D17" s="154">
        <v>400</v>
      </c>
      <c r="E17" s="153">
        <f t="shared" si="0"/>
        <v>400</v>
      </c>
    </row>
    <row r="18" spans="1:8" s="24" customFormat="1" ht="24.95" customHeight="1" x14ac:dyDescent="0.3">
      <c r="A18" s="44" t="s">
        <v>100</v>
      </c>
      <c r="B18" s="35" t="s">
        <v>194</v>
      </c>
      <c r="C18" s="74">
        <v>3000</v>
      </c>
      <c r="D18" s="154">
        <v>3000</v>
      </c>
      <c r="E18" s="153">
        <f t="shared" si="0"/>
        <v>3000</v>
      </c>
    </row>
    <row r="19" spans="1:8" s="103" customFormat="1" ht="24.95" customHeight="1" x14ac:dyDescent="0.35">
      <c r="A19" s="113" t="s">
        <v>75</v>
      </c>
      <c r="B19" s="40" t="s">
        <v>195</v>
      </c>
      <c r="C19" s="171">
        <v>653552</v>
      </c>
      <c r="D19" s="155">
        <v>674886</v>
      </c>
      <c r="E19" s="137">
        <f>'bieu 12 (PL05)'!$E$20</f>
        <v>678684.42</v>
      </c>
      <c r="H19" s="167"/>
    </row>
    <row r="20" spans="1:8" s="103" customFormat="1" ht="24.95" customHeight="1" x14ac:dyDescent="0.35">
      <c r="A20" s="113" t="s">
        <v>76</v>
      </c>
      <c r="B20" s="156" t="s">
        <v>223</v>
      </c>
      <c r="C20" s="172">
        <v>0</v>
      </c>
      <c r="D20" s="137">
        <v>157140.61157499999</v>
      </c>
      <c r="E20" s="137">
        <v>157140.61157499999</v>
      </c>
    </row>
    <row r="21" spans="1:8" s="103" customFormat="1" ht="24.95" customHeight="1" x14ac:dyDescent="0.35">
      <c r="A21" s="113" t="s">
        <v>84</v>
      </c>
      <c r="B21" s="40" t="s">
        <v>9</v>
      </c>
      <c r="C21" s="173">
        <v>0</v>
      </c>
      <c r="D21" s="137">
        <v>5801.0743940000002</v>
      </c>
      <c r="E21" s="137">
        <v>5801.0743940000002</v>
      </c>
    </row>
    <row r="22" spans="1:8" ht="18" customHeight="1" x14ac:dyDescent="0.3">
      <c r="E22" s="63"/>
    </row>
    <row r="23" spans="1:8" ht="18" customHeight="1" x14ac:dyDescent="0.3">
      <c r="E23" s="64"/>
    </row>
    <row r="24" spans="1:8" ht="18" customHeight="1" x14ac:dyDescent="0.3">
      <c r="E24" s="65"/>
    </row>
    <row r="25" spans="1:8" ht="18" customHeight="1" x14ac:dyDescent="0.3">
      <c r="E25" s="65"/>
    </row>
    <row r="26" spans="1:8" ht="18" customHeight="1" x14ac:dyDescent="0.3">
      <c r="E26" s="66"/>
    </row>
    <row r="27" spans="1:8" ht="18" customHeight="1" x14ac:dyDescent="0.3">
      <c r="E27" s="66"/>
    </row>
    <row r="28" spans="1:8" ht="18" customHeight="1" x14ac:dyDescent="0.3">
      <c r="E28" s="63"/>
    </row>
    <row r="29" spans="1:8" ht="18" customHeight="1" x14ac:dyDescent="0.3">
      <c r="E29" s="63"/>
    </row>
    <row r="30" spans="1:8" ht="18" customHeight="1" x14ac:dyDescent="0.3">
      <c r="E30" s="63"/>
    </row>
    <row r="31" spans="1:8" ht="18" customHeight="1" x14ac:dyDescent="0.3">
      <c r="E31" s="63"/>
    </row>
    <row r="32" spans="1:8" ht="18" customHeight="1" x14ac:dyDescent="0.3">
      <c r="E32" s="63"/>
    </row>
    <row r="33" spans="5:5" ht="18" customHeight="1" x14ac:dyDescent="0.3">
      <c r="E33" s="63"/>
    </row>
    <row r="34" spans="5:5" ht="18" customHeight="1" x14ac:dyDescent="0.3">
      <c r="E34" s="63"/>
    </row>
    <row r="35" spans="5:5" ht="18" customHeight="1" x14ac:dyDescent="0.3">
      <c r="E35" s="63"/>
    </row>
    <row r="36" spans="5:5" ht="18" customHeight="1" x14ac:dyDescent="0.3">
      <c r="E36" s="63"/>
    </row>
    <row r="37" spans="5:5" ht="18" customHeight="1" x14ac:dyDescent="0.3">
      <c r="E37" s="63"/>
    </row>
    <row r="38" spans="5:5" ht="18" customHeight="1" x14ac:dyDescent="0.3">
      <c r="E38" s="63"/>
    </row>
    <row r="39" spans="5:5" ht="18" customHeight="1" x14ac:dyDescent="0.3">
      <c r="E39" s="63"/>
    </row>
    <row r="40" spans="5:5" ht="18" customHeight="1" x14ac:dyDescent="0.3">
      <c r="E40" s="63"/>
    </row>
    <row r="41" spans="5:5" ht="18" customHeight="1" x14ac:dyDescent="0.3">
      <c r="E41" s="63"/>
    </row>
    <row r="42" spans="5:5" ht="18" customHeight="1" x14ac:dyDescent="0.3">
      <c r="E42" s="63"/>
    </row>
    <row r="43" spans="5:5" ht="18" customHeight="1" x14ac:dyDescent="0.3">
      <c r="E43" s="63"/>
    </row>
    <row r="44" spans="5:5" ht="18" customHeight="1" x14ac:dyDescent="0.3">
      <c r="E44" s="63"/>
    </row>
    <row r="45" spans="5:5" ht="18" customHeight="1" x14ac:dyDescent="0.3">
      <c r="E45" s="63"/>
    </row>
    <row r="46" spans="5:5" ht="18" customHeight="1" x14ac:dyDescent="0.3">
      <c r="E46" s="63"/>
    </row>
    <row r="47" spans="5:5" ht="18" customHeight="1" x14ac:dyDescent="0.3">
      <c r="E47" s="63"/>
    </row>
    <row r="48" spans="5:5" ht="18" customHeight="1" x14ac:dyDescent="0.3">
      <c r="E48" s="63"/>
    </row>
    <row r="49" spans="5:5" ht="18" customHeight="1" x14ac:dyDescent="0.3">
      <c r="E49" s="63"/>
    </row>
    <row r="50" spans="5:5" ht="18" customHeight="1" x14ac:dyDescent="0.3">
      <c r="E50" s="63"/>
    </row>
    <row r="51" spans="5:5" ht="18" customHeight="1" x14ac:dyDescent="0.3">
      <c r="E51" s="63"/>
    </row>
    <row r="52" spans="5:5" ht="18" customHeight="1" x14ac:dyDescent="0.3">
      <c r="E52" s="63"/>
    </row>
    <row r="53" spans="5:5" ht="18" customHeight="1" x14ac:dyDescent="0.3">
      <c r="E53" s="63"/>
    </row>
    <row r="54" spans="5:5" ht="18" customHeight="1" x14ac:dyDescent="0.3">
      <c r="E54" s="63"/>
    </row>
    <row r="55" spans="5:5" ht="18" customHeight="1" x14ac:dyDescent="0.3">
      <c r="E55" s="63"/>
    </row>
    <row r="56" spans="5:5" ht="18" customHeight="1" x14ac:dyDescent="0.3">
      <c r="E56" s="63"/>
    </row>
    <row r="57" spans="5:5" ht="18" customHeight="1" x14ac:dyDescent="0.3">
      <c r="E57" s="63"/>
    </row>
    <row r="58" spans="5:5" ht="18" customHeight="1" x14ac:dyDescent="0.3">
      <c r="E58" s="63"/>
    </row>
    <row r="59" spans="5:5" ht="18" customHeight="1" x14ac:dyDescent="0.3">
      <c r="E59" s="63"/>
    </row>
    <row r="60" spans="5:5" ht="18" customHeight="1" x14ac:dyDescent="0.3">
      <c r="E60" s="63"/>
    </row>
    <row r="61" spans="5:5" ht="18" customHeight="1" x14ac:dyDescent="0.3">
      <c r="E61" s="63"/>
    </row>
    <row r="62" spans="5:5" ht="18" customHeight="1" x14ac:dyDescent="0.3">
      <c r="E62" s="63"/>
    </row>
    <row r="63" spans="5:5" ht="18" customHeight="1" x14ac:dyDescent="0.3">
      <c r="E63" s="63"/>
    </row>
    <row r="64" spans="5:5" ht="18" customHeight="1" x14ac:dyDescent="0.3">
      <c r="E64" s="63"/>
    </row>
    <row r="65" spans="5:5" ht="18" customHeight="1" x14ac:dyDescent="0.3">
      <c r="E65" s="63"/>
    </row>
    <row r="66" spans="5:5" ht="18" customHeight="1" x14ac:dyDescent="0.3">
      <c r="E66" s="63"/>
    </row>
    <row r="67" spans="5:5" ht="18" customHeight="1" x14ac:dyDescent="0.3"/>
    <row r="68" spans="5:5" ht="18" customHeight="1" x14ac:dyDescent="0.3"/>
    <row r="69" spans="5:5" ht="18" customHeight="1" x14ac:dyDescent="0.3"/>
    <row r="70" spans="5:5" ht="18" customHeight="1" x14ac:dyDescent="0.3"/>
    <row r="71" spans="5:5" ht="18" customHeight="1" x14ac:dyDescent="0.3"/>
    <row r="72" spans="5:5" ht="18" customHeight="1" x14ac:dyDescent="0.3"/>
    <row r="73" spans="5:5" ht="18" customHeight="1" x14ac:dyDescent="0.3"/>
    <row r="74" spans="5:5" ht="18" customHeight="1" x14ac:dyDescent="0.3"/>
    <row r="75" spans="5:5" ht="18" customHeight="1" x14ac:dyDescent="0.3"/>
    <row r="76" spans="5:5" ht="18" customHeight="1" x14ac:dyDescent="0.3"/>
    <row r="77" spans="5:5" ht="18" customHeight="1" x14ac:dyDescent="0.3"/>
    <row r="78" spans="5:5" ht="18" customHeight="1" x14ac:dyDescent="0.3"/>
    <row r="79" spans="5:5" ht="18" customHeight="1" x14ac:dyDescent="0.3"/>
    <row r="80" spans="5:5" ht="18" customHeight="1" x14ac:dyDescent="0.3"/>
    <row r="81" ht="18" customHeight="1" x14ac:dyDescent="0.3"/>
    <row r="82" ht="18" customHeight="1" x14ac:dyDescent="0.3"/>
  </sheetData>
  <mergeCells count="9">
    <mergeCell ref="D1:E1"/>
    <mergeCell ref="D5:E5"/>
    <mergeCell ref="A6:A7"/>
    <mergeCell ref="B6:B7"/>
    <mergeCell ref="D6:D7"/>
    <mergeCell ref="E6:E7"/>
    <mergeCell ref="A2:E2"/>
    <mergeCell ref="A3:E3"/>
    <mergeCell ref="C6:C7"/>
  </mergeCells>
  <phoneticPr fontId="3" type="noConversion"/>
  <printOptions horizontalCentered="1"/>
  <pageMargins left="0.35433070866141736" right="0.15748031496062992" top="0.6692913385826772" bottom="0.19685039370078741" header="0.51181102362204722" footer="0.51181102362204722"/>
  <pageSetup paperSize="9" scale="95" orientation="portrait" verticalDpi="0" r:id="rId1"/>
  <headerFooter alignWithMargins="0">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topLeftCell="C1" workbookViewId="0">
      <selection activeCell="Q8" sqref="Q8"/>
    </sheetView>
  </sheetViews>
  <sheetFormatPr defaultColWidth="9.140625" defaultRowHeight="16.5" x14ac:dyDescent="0.25"/>
  <cols>
    <col min="1" max="1" width="5.28515625" style="16" customWidth="1"/>
    <col min="2" max="2" width="24.7109375" style="16" customWidth="1"/>
    <col min="3" max="3" width="11.42578125" style="16" customWidth="1"/>
    <col min="4" max="4" width="11.28515625" style="16" customWidth="1"/>
    <col min="5" max="7" width="11.140625" style="16" customWidth="1"/>
    <col min="8" max="9" width="10.85546875" style="16" customWidth="1"/>
    <col min="10" max="10" width="11.85546875" style="16" customWidth="1"/>
    <col min="11" max="13" width="10.85546875" style="16" customWidth="1"/>
    <col min="14" max="14" width="11.5703125" style="16" customWidth="1"/>
    <col min="15" max="16" width="10.85546875" style="16" customWidth="1"/>
    <col min="17" max="17" width="11" style="16" customWidth="1"/>
    <col min="18" max="18" width="12.42578125" style="16" customWidth="1"/>
    <col min="19" max="19" width="11.42578125" style="16" customWidth="1"/>
    <col min="20" max="20" width="10.140625" style="18" customWidth="1"/>
    <col min="21" max="21" width="11.28515625" style="112" customWidth="1"/>
    <col min="22" max="22" width="11.7109375" style="16" customWidth="1"/>
    <col min="23" max="23" width="10.85546875" style="16" customWidth="1"/>
    <col min="24" max="24" width="12" style="16" customWidth="1"/>
    <col min="25" max="25" width="13.5703125" style="16" bestFit="1" customWidth="1"/>
    <col min="26" max="26" width="10" style="16" bestFit="1" customWidth="1"/>
    <col min="27" max="27" width="9.140625" style="16"/>
    <col min="28" max="29" width="13.5703125" style="19" bestFit="1" customWidth="1"/>
    <col min="30" max="30" width="17.5703125" style="19" bestFit="1" customWidth="1"/>
    <col min="31" max="16384" width="9.140625" style="16"/>
  </cols>
  <sheetData>
    <row r="1" spans="1:30" s="6" customFormat="1" ht="15.75" customHeight="1" x14ac:dyDescent="0.25">
      <c r="A1" s="26"/>
      <c r="B1" s="26"/>
      <c r="C1" s="26"/>
      <c r="D1" s="3"/>
      <c r="E1" s="3"/>
      <c r="F1" s="3"/>
      <c r="G1" s="3"/>
      <c r="H1" s="4"/>
      <c r="I1" s="4"/>
      <c r="J1" s="4"/>
      <c r="K1" s="4"/>
      <c r="L1" s="4"/>
      <c r="M1" s="4"/>
      <c r="N1" s="4"/>
      <c r="O1" s="4"/>
      <c r="P1" s="4"/>
      <c r="Q1" s="4"/>
      <c r="R1" s="4"/>
      <c r="S1" s="5"/>
      <c r="T1" s="5"/>
      <c r="U1" s="111"/>
      <c r="V1" s="229" t="s">
        <v>292</v>
      </c>
      <c r="W1" s="229"/>
      <c r="X1" s="229"/>
      <c r="AB1" s="7"/>
      <c r="AC1" s="7"/>
      <c r="AD1" s="7"/>
    </row>
    <row r="2" spans="1:30" s="6" customFormat="1" x14ac:dyDescent="0.25">
      <c r="A2" s="232" t="s">
        <v>245</v>
      </c>
      <c r="B2" s="232"/>
      <c r="C2" s="232"/>
      <c r="D2" s="232"/>
      <c r="E2" s="232"/>
      <c r="F2" s="232"/>
      <c r="G2" s="232"/>
      <c r="H2" s="232"/>
      <c r="I2" s="232"/>
      <c r="J2" s="232"/>
      <c r="K2" s="232"/>
      <c r="L2" s="232"/>
      <c r="M2" s="232"/>
      <c r="N2" s="232"/>
      <c r="O2" s="232"/>
      <c r="P2" s="232"/>
      <c r="Q2" s="232"/>
      <c r="R2" s="232"/>
      <c r="S2" s="232"/>
      <c r="T2" s="232"/>
      <c r="U2" s="232"/>
      <c r="V2" s="232"/>
      <c r="W2" s="232"/>
      <c r="X2" s="232"/>
      <c r="AB2" s="7"/>
      <c r="AC2" s="7"/>
      <c r="AD2" s="7"/>
    </row>
    <row r="3" spans="1:30" s="6" customFormat="1" x14ac:dyDescent="0.25">
      <c r="A3" s="235" t="str">
        <f>'bieu 12 (PL05)'!A3:I3</f>
        <v>(Kèm theo Tờ trình số:         /TTr-UBND ngày      tháng 8 năm 2024 của UBND huyện Phụng Hiệp)</v>
      </c>
      <c r="B3" s="235"/>
      <c r="C3" s="235"/>
      <c r="D3" s="235"/>
      <c r="E3" s="235"/>
      <c r="F3" s="235"/>
      <c r="G3" s="235"/>
      <c r="H3" s="235"/>
      <c r="I3" s="235"/>
      <c r="J3" s="235"/>
      <c r="K3" s="235"/>
      <c r="L3" s="235"/>
      <c r="M3" s="235"/>
      <c r="N3" s="235"/>
      <c r="O3" s="235"/>
      <c r="P3" s="235"/>
      <c r="Q3" s="235"/>
      <c r="R3" s="235"/>
      <c r="S3" s="235"/>
      <c r="T3" s="235"/>
      <c r="U3" s="235"/>
      <c r="V3" s="235"/>
      <c r="W3" s="235"/>
      <c r="X3" s="235"/>
      <c r="AB3" s="7"/>
      <c r="AC3" s="7"/>
      <c r="AD3" s="7"/>
    </row>
    <row r="4" spans="1:30" s="6" customFormat="1" x14ac:dyDescent="0.25">
      <c r="C4" s="3"/>
      <c r="D4" s="3"/>
      <c r="E4" s="8"/>
      <c r="F4" s="8"/>
      <c r="G4" s="8"/>
      <c r="H4" s="3"/>
      <c r="I4" s="3"/>
      <c r="J4" s="3"/>
      <c r="K4" s="3"/>
      <c r="L4" s="3"/>
      <c r="M4" s="3"/>
      <c r="N4" s="3"/>
      <c r="O4" s="3"/>
      <c r="P4" s="3"/>
      <c r="Q4" s="3"/>
      <c r="R4" s="3"/>
      <c r="S4" s="3"/>
      <c r="T4" s="3"/>
      <c r="U4" s="27"/>
      <c r="V4" s="3"/>
      <c r="W4" s="233" t="s">
        <v>12</v>
      </c>
      <c r="X4" s="233"/>
      <c r="AB4" s="7"/>
      <c r="AC4" s="7"/>
      <c r="AD4" s="7"/>
    </row>
    <row r="5" spans="1:30" s="9" customFormat="1" ht="24.75" customHeight="1" x14ac:dyDescent="0.2">
      <c r="A5" s="237" t="s">
        <v>163</v>
      </c>
      <c r="B5" s="231" t="s">
        <v>164</v>
      </c>
      <c r="C5" s="231" t="s">
        <v>246</v>
      </c>
      <c r="D5" s="231"/>
      <c r="E5" s="231"/>
      <c r="F5" s="231"/>
      <c r="G5" s="231"/>
      <c r="H5" s="231"/>
      <c r="I5" s="236" t="s">
        <v>283</v>
      </c>
      <c r="J5" s="236"/>
      <c r="K5" s="236"/>
      <c r="L5" s="236"/>
      <c r="M5" s="236"/>
      <c r="N5" s="236"/>
      <c r="O5" s="236"/>
      <c r="P5" s="236"/>
      <c r="Q5" s="236" t="s">
        <v>282</v>
      </c>
      <c r="R5" s="236"/>
      <c r="S5" s="236"/>
      <c r="T5" s="236"/>
      <c r="U5" s="236"/>
      <c r="V5" s="236"/>
      <c r="W5" s="236"/>
      <c r="X5" s="236"/>
      <c r="AB5" s="10"/>
      <c r="AC5" s="10"/>
      <c r="AD5" s="10"/>
    </row>
    <row r="6" spans="1:30" s="9" customFormat="1" ht="36.75" customHeight="1" x14ac:dyDescent="0.2">
      <c r="A6" s="237"/>
      <c r="B6" s="231"/>
      <c r="C6" s="230" t="s">
        <v>199</v>
      </c>
      <c r="D6" s="230" t="s">
        <v>165</v>
      </c>
      <c r="E6" s="230" t="s">
        <v>166</v>
      </c>
      <c r="F6" s="230" t="s">
        <v>170</v>
      </c>
      <c r="G6" s="230" t="s">
        <v>171</v>
      </c>
      <c r="H6" s="230"/>
      <c r="I6" s="230" t="s">
        <v>167</v>
      </c>
      <c r="J6" s="230" t="s">
        <v>168</v>
      </c>
      <c r="K6" s="230" t="s">
        <v>169</v>
      </c>
      <c r="L6" s="230" t="s">
        <v>248</v>
      </c>
      <c r="M6" s="234" t="s">
        <v>249</v>
      </c>
      <c r="N6" s="230" t="s">
        <v>170</v>
      </c>
      <c r="O6" s="230" t="s">
        <v>171</v>
      </c>
      <c r="P6" s="230"/>
      <c r="Q6" s="230" t="s">
        <v>167</v>
      </c>
      <c r="R6" s="230" t="s">
        <v>168</v>
      </c>
      <c r="S6" s="230" t="s">
        <v>169</v>
      </c>
      <c r="T6" s="230" t="s">
        <v>248</v>
      </c>
      <c r="U6" s="234" t="s">
        <v>249</v>
      </c>
      <c r="V6" s="230" t="s">
        <v>170</v>
      </c>
      <c r="W6" s="230" t="s">
        <v>171</v>
      </c>
      <c r="X6" s="230"/>
      <c r="AB6" s="10"/>
      <c r="AC6" s="10"/>
      <c r="AD6" s="10"/>
    </row>
    <row r="7" spans="1:30" s="9" customFormat="1" ht="88.9" customHeight="1" x14ac:dyDescent="0.2">
      <c r="A7" s="237"/>
      <c r="B7" s="231"/>
      <c r="C7" s="230"/>
      <c r="D7" s="230"/>
      <c r="E7" s="230"/>
      <c r="F7" s="230"/>
      <c r="G7" s="114" t="s">
        <v>172</v>
      </c>
      <c r="H7" s="115" t="s">
        <v>247</v>
      </c>
      <c r="I7" s="230"/>
      <c r="J7" s="230"/>
      <c r="K7" s="230"/>
      <c r="L7" s="230"/>
      <c r="M7" s="234"/>
      <c r="N7" s="230"/>
      <c r="O7" s="114" t="s">
        <v>172</v>
      </c>
      <c r="P7" s="115" t="s">
        <v>247</v>
      </c>
      <c r="Q7" s="230"/>
      <c r="R7" s="230"/>
      <c r="S7" s="230"/>
      <c r="T7" s="230"/>
      <c r="U7" s="234"/>
      <c r="V7" s="230"/>
      <c r="W7" s="114" t="s">
        <v>172</v>
      </c>
      <c r="X7" s="115" t="s">
        <v>247</v>
      </c>
      <c r="AB7" s="10"/>
      <c r="AC7" s="10"/>
      <c r="AD7" s="10"/>
    </row>
    <row r="8" spans="1:30" s="12" customFormat="1" ht="26.1" customHeight="1" x14ac:dyDescent="0.25">
      <c r="A8" s="157"/>
      <c r="B8" s="196" t="s">
        <v>119</v>
      </c>
      <c r="C8" s="201">
        <f t="shared" ref="C8:R8" si="0">SUM(C9:C23)</f>
        <v>25800</v>
      </c>
      <c r="D8" s="201">
        <f>SUM(D9:D23)</f>
        <v>107270.5</v>
      </c>
      <c r="E8" s="201">
        <f t="shared" si="0"/>
        <v>20420</v>
      </c>
      <c r="F8" s="201">
        <f t="shared" si="0"/>
        <v>86851</v>
      </c>
      <c r="G8" s="201">
        <f t="shared" si="0"/>
        <v>82331</v>
      </c>
      <c r="H8" s="201">
        <f t="shared" si="0"/>
        <v>4520</v>
      </c>
      <c r="I8" s="201">
        <f t="shared" ref="I8:J8" si="1">SUM(I9:I23)</f>
        <v>25800</v>
      </c>
      <c r="J8" s="202">
        <f t="shared" si="1"/>
        <v>146941.18849500001</v>
      </c>
      <c r="K8" s="201">
        <f t="shared" ref="K8" si="2">SUM(K9:K23)</f>
        <v>20420</v>
      </c>
      <c r="L8" s="201">
        <f>SUM(L9:L23)+0.1</f>
        <v>2513.2392639999998</v>
      </c>
      <c r="M8" s="202">
        <f>SUM(M9:M23)</f>
        <v>10199.049230999999</v>
      </c>
      <c r="N8" s="201">
        <f t="shared" ref="N8:O8" si="3">SUM(N9:N23)</f>
        <v>113808.99999999999</v>
      </c>
      <c r="O8" s="201">
        <f t="shared" si="3"/>
        <v>82331</v>
      </c>
      <c r="P8" s="202">
        <f>SUM(P9:P23)+0.3</f>
        <v>31478.3</v>
      </c>
      <c r="Q8" s="201">
        <f t="shared" si="0"/>
        <v>25800</v>
      </c>
      <c r="R8" s="202">
        <f t="shared" si="0"/>
        <v>151951.36549499998</v>
      </c>
      <c r="S8" s="201">
        <f t="shared" ref="S8:W8" si="4">SUM(S9:S23)</f>
        <v>20420</v>
      </c>
      <c r="T8" s="201">
        <f>SUM(T9:T23)+0.1</f>
        <v>2513.2392639999998</v>
      </c>
      <c r="U8" s="202">
        <f>SUM(U9:U23)</f>
        <v>10199.049230999999</v>
      </c>
      <c r="V8" s="201">
        <f t="shared" si="4"/>
        <v>118819.177</v>
      </c>
      <c r="W8" s="201">
        <f t="shared" si="4"/>
        <v>82331</v>
      </c>
      <c r="X8" s="202">
        <f>SUM(X9:X23)+0.3</f>
        <v>36488.476999999999</v>
      </c>
      <c r="Y8" s="11"/>
      <c r="Z8" s="11"/>
      <c r="AB8" s="13"/>
      <c r="AC8" s="13"/>
      <c r="AD8" s="13"/>
    </row>
    <row r="9" spans="1:30" s="6" customFormat="1" ht="26.1" customHeight="1" x14ac:dyDescent="0.25">
      <c r="A9" s="158">
        <v>1</v>
      </c>
      <c r="B9" s="203" t="s">
        <v>173</v>
      </c>
      <c r="C9" s="204">
        <v>3450</v>
      </c>
      <c r="D9" s="204">
        <v>6295.2</v>
      </c>
      <c r="E9" s="204">
        <v>2590</v>
      </c>
      <c r="F9" s="204">
        <f>G9+H9</f>
        <v>3705.2999999999997</v>
      </c>
      <c r="G9" s="204">
        <v>3501.2</v>
      </c>
      <c r="H9" s="204">
        <v>204.1</v>
      </c>
      <c r="I9" s="204">
        <f>C9</f>
        <v>3450</v>
      </c>
      <c r="J9" s="204">
        <f>N9+L9+K9+M9</f>
        <v>9028.1141620000017</v>
      </c>
      <c r="K9" s="204">
        <f>E9</f>
        <v>2590</v>
      </c>
      <c r="L9" s="205">
        <v>0</v>
      </c>
      <c r="M9" s="205">
        <v>761.41416200000003</v>
      </c>
      <c r="N9" s="204">
        <f>O9+P9</f>
        <v>5676.7</v>
      </c>
      <c r="O9" s="204">
        <f>G9</f>
        <v>3501.2</v>
      </c>
      <c r="P9" s="205">
        <v>2175.5</v>
      </c>
      <c r="Q9" s="204">
        <f>C9</f>
        <v>3450</v>
      </c>
      <c r="R9" s="204">
        <f>V9+T9+S9+U9</f>
        <v>9307.5181620000003</v>
      </c>
      <c r="S9" s="204">
        <f>E9</f>
        <v>2590</v>
      </c>
      <c r="T9" s="205">
        <v>0</v>
      </c>
      <c r="U9" s="205">
        <v>761.41416200000003</v>
      </c>
      <c r="V9" s="204">
        <f>W9+X9</f>
        <v>5956.1039999999994</v>
      </c>
      <c r="W9" s="204">
        <f>G9</f>
        <v>3501.2</v>
      </c>
      <c r="X9" s="205">
        <f>2250.804+H9</f>
        <v>2454.904</v>
      </c>
      <c r="Y9" s="7"/>
      <c r="Z9" s="15"/>
      <c r="AB9" s="13"/>
      <c r="AC9" s="13"/>
      <c r="AD9" s="20"/>
    </row>
    <row r="10" spans="1:30" s="6" customFormat="1" ht="26.1" customHeight="1" x14ac:dyDescent="0.25">
      <c r="A10" s="158">
        <v>2</v>
      </c>
      <c r="B10" s="203" t="s">
        <v>174</v>
      </c>
      <c r="C10" s="204">
        <v>2360</v>
      </c>
      <c r="D10" s="204">
        <v>6077.3</v>
      </c>
      <c r="E10" s="204">
        <v>1720</v>
      </c>
      <c r="F10" s="204">
        <f t="shared" ref="F10:F23" si="5">G10+H10</f>
        <v>4357.3</v>
      </c>
      <c r="G10" s="204">
        <v>4140.5</v>
      </c>
      <c r="H10" s="204">
        <v>216.8</v>
      </c>
      <c r="I10" s="204">
        <f t="shared" ref="I10:I23" si="6">C10</f>
        <v>2360</v>
      </c>
      <c r="J10" s="204">
        <f t="shared" ref="J10:J23" si="7">N10+L10+K10+M10</f>
        <v>7366.7724170000001</v>
      </c>
      <c r="K10" s="204">
        <f t="shared" ref="K10:K23" si="8">E10</f>
        <v>1720</v>
      </c>
      <c r="L10" s="205">
        <v>-238.67173500000001</v>
      </c>
      <c r="M10" s="205">
        <v>210.444152</v>
      </c>
      <c r="N10" s="204">
        <f t="shared" ref="N10:N23" si="9">O10+P10</f>
        <v>5675</v>
      </c>
      <c r="O10" s="204">
        <f t="shared" ref="O10:O23" si="10">G10</f>
        <v>4140.5</v>
      </c>
      <c r="P10" s="205">
        <v>1534.5</v>
      </c>
      <c r="Q10" s="204">
        <f t="shared" ref="Q10:Q23" si="11">C10</f>
        <v>2360</v>
      </c>
      <c r="R10" s="204">
        <f t="shared" ref="R10:R15" si="12">V10+T10+S10+U10</f>
        <v>7652.6164170000002</v>
      </c>
      <c r="S10" s="204">
        <f t="shared" ref="S10:S23" si="13">E10</f>
        <v>1720</v>
      </c>
      <c r="T10" s="205">
        <v>-238.67173500000001</v>
      </c>
      <c r="U10" s="205">
        <v>210.444152</v>
      </c>
      <c r="V10" s="204">
        <f t="shared" ref="V10:V23" si="14">W10+X10</f>
        <v>5960.8440000000001</v>
      </c>
      <c r="W10" s="204">
        <f t="shared" ref="W10:W23" si="15">G10</f>
        <v>4140.5</v>
      </c>
      <c r="X10" s="205">
        <f>1603.544+H10</f>
        <v>1820.3440000000001</v>
      </c>
      <c r="Y10" s="14"/>
      <c r="Z10" s="15"/>
      <c r="AB10" s="7"/>
      <c r="AC10" s="7"/>
      <c r="AD10" s="20"/>
    </row>
    <row r="11" spans="1:30" s="6" customFormat="1" ht="26.1" customHeight="1" x14ac:dyDescent="0.25">
      <c r="A11" s="158">
        <v>3</v>
      </c>
      <c r="B11" s="203" t="s">
        <v>175</v>
      </c>
      <c r="C11" s="204">
        <v>1320</v>
      </c>
      <c r="D11" s="204">
        <v>5417</v>
      </c>
      <c r="E11" s="204">
        <v>1020</v>
      </c>
      <c r="F11" s="204">
        <f t="shared" si="5"/>
        <v>4397</v>
      </c>
      <c r="G11" s="204">
        <v>4243.8999999999996</v>
      </c>
      <c r="H11" s="204">
        <v>153.1</v>
      </c>
      <c r="I11" s="204">
        <f t="shared" si="6"/>
        <v>1320</v>
      </c>
      <c r="J11" s="204">
        <f t="shared" si="7"/>
        <v>7227.0942770000001</v>
      </c>
      <c r="K11" s="204">
        <f t="shared" si="8"/>
        <v>1020</v>
      </c>
      <c r="L11" s="205">
        <v>309.23433</v>
      </c>
      <c r="M11" s="205">
        <v>672.95994700000006</v>
      </c>
      <c r="N11" s="204">
        <f t="shared" si="9"/>
        <v>5224.8999999999996</v>
      </c>
      <c r="O11" s="204">
        <f t="shared" si="10"/>
        <v>4243.8999999999996</v>
      </c>
      <c r="P11" s="205">
        <v>981</v>
      </c>
      <c r="Q11" s="204">
        <f t="shared" si="11"/>
        <v>1320</v>
      </c>
      <c r="R11" s="204">
        <f t="shared" si="12"/>
        <v>7535.2012770000001</v>
      </c>
      <c r="S11" s="204">
        <f t="shared" si="13"/>
        <v>1020</v>
      </c>
      <c r="T11" s="205">
        <v>309.23433</v>
      </c>
      <c r="U11" s="205">
        <v>672.95994700000006</v>
      </c>
      <c r="V11" s="204">
        <f t="shared" si="14"/>
        <v>5533.0069999999996</v>
      </c>
      <c r="W11" s="204">
        <f t="shared" si="15"/>
        <v>4243.8999999999996</v>
      </c>
      <c r="X11" s="205">
        <f>1136.007+H11</f>
        <v>1289.107</v>
      </c>
      <c r="Y11" s="15"/>
      <c r="AB11" s="7"/>
      <c r="AC11" s="7"/>
      <c r="AD11" s="20"/>
    </row>
    <row r="12" spans="1:30" s="6" customFormat="1" ht="26.1" customHeight="1" x14ac:dyDescent="0.25">
      <c r="A12" s="158">
        <v>4</v>
      </c>
      <c r="B12" s="203" t="s">
        <v>176</v>
      </c>
      <c r="C12" s="204">
        <v>3620</v>
      </c>
      <c r="D12" s="204">
        <v>8051</v>
      </c>
      <c r="E12" s="204">
        <v>2950</v>
      </c>
      <c r="F12" s="204">
        <f t="shared" si="5"/>
        <v>5101</v>
      </c>
      <c r="G12" s="204">
        <v>4709.1499999999996</v>
      </c>
      <c r="H12" s="204">
        <v>391.85</v>
      </c>
      <c r="I12" s="204">
        <f t="shared" si="6"/>
        <v>3620</v>
      </c>
      <c r="J12" s="204">
        <f t="shared" si="7"/>
        <v>11597.949279</v>
      </c>
      <c r="K12" s="204">
        <f t="shared" si="8"/>
        <v>2950</v>
      </c>
      <c r="L12" s="205">
        <v>415.98294099999998</v>
      </c>
      <c r="M12" s="205">
        <v>730.81633799999997</v>
      </c>
      <c r="N12" s="204">
        <f t="shared" si="9"/>
        <v>7501.15</v>
      </c>
      <c r="O12" s="204">
        <f t="shared" si="10"/>
        <v>4709.1499999999996</v>
      </c>
      <c r="P12" s="205">
        <v>2792</v>
      </c>
      <c r="Q12" s="204">
        <f t="shared" si="11"/>
        <v>3620</v>
      </c>
      <c r="R12" s="204">
        <f t="shared" si="12"/>
        <v>11581.821279</v>
      </c>
      <c r="S12" s="204">
        <f t="shared" si="13"/>
        <v>2950</v>
      </c>
      <c r="T12" s="205">
        <v>415.98294099999998</v>
      </c>
      <c r="U12" s="205">
        <v>730.81633799999997</v>
      </c>
      <c r="V12" s="204">
        <f t="shared" si="14"/>
        <v>7485.021999999999</v>
      </c>
      <c r="W12" s="204">
        <f t="shared" si="15"/>
        <v>4709.1499999999996</v>
      </c>
      <c r="X12" s="205">
        <f>2384.022+H12</f>
        <v>2775.8719999999998</v>
      </c>
      <c r="Z12" s="7"/>
      <c r="AB12" s="7"/>
      <c r="AC12" s="7"/>
      <c r="AD12" s="20"/>
    </row>
    <row r="13" spans="1:30" s="6" customFormat="1" ht="26.1" customHeight="1" x14ac:dyDescent="0.25">
      <c r="A13" s="158">
        <v>5</v>
      </c>
      <c r="B13" s="203" t="s">
        <v>177</v>
      </c>
      <c r="C13" s="204">
        <v>2210</v>
      </c>
      <c r="D13" s="204">
        <v>8127</v>
      </c>
      <c r="E13" s="204">
        <v>1760</v>
      </c>
      <c r="F13" s="204">
        <f t="shared" si="5"/>
        <v>6367</v>
      </c>
      <c r="G13" s="204">
        <v>5982.6</v>
      </c>
      <c r="H13" s="204">
        <v>384.4</v>
      </c>
      <c r="I13" s="204">
        <f t="shared" si="6"/>
        <v>2210</v>
      </c>
      <c r="J13" s="204">
        <f t="shared" si="7"/>
        <v>11386.037420000001</v>
      </c>
      <c r="K13" s="204">
        <f t="shared" si="8"/>
        <v>1760</v>
      </c>
      <c r="L13" s="205">
        <v>124.60092299999999</v>
      </c>
      <c r="M13" s="205">
        <v>1026.836497</v>
      </c>
      <c r="N13" s="204">
        <f t="shared" si="9"/>
        <v>8474.6</v>
      </c>
      <c r="O13" s="204">
        <f t="shared" si="10"/>
        <v>5982.6</v>
      </c>
      <c r="P13" s="205">
        <v>2492</v>
      </c>
      <c r="Q13" s="204">
        <f t="shared" si="11"/>
        <v>2210</v>
      </c>
      <c r="R13" s="204">
        <f t="shared" si="12"/>
        <v>11701.83142</v>
      </c>
      <c r="S13" s="204">
        <f t="shared" si="13"/>
        <v>1760</v>
      </c>
      <c r="T13" s="205">
        <v>124.60092299999999</v>
      </c>
      <c r="U13" s="205">
        <v>1026.836497</v>
      </c>
      <c r="V13" s="204">
        <f t="shared" si="14"/>
        <v>8790.3940000000002</v>
      </c>
      <c r="W13" s="204">
        <f t="shared" si="15"/>
        <v>5982.6</v>
      </c>
      <c r="X13" s="205">
        <f>2423.394+H13</f>
        <v>2807.7939999999999</v>
      </c>
      <c r="AB13" s="7"/>
      <c r="AC13" s="7"/>
      <c r="AD13" s="20"/>
    </row>
    <row r="14" spans="1:30" s="6" customFormat="1" ht="26.1" customHeight="1" x14ac:dyDescent="0.25">
      <c r="A14" s="158">
        <v>6</v>
      </c>
      <c r="B14" s="203" t="s">
        <v>178</v>
      </c>
      <c r="C14" s="204">
        <v>2260</v>
      </c>
      <c r="D14" s="204">
        <v>7457</v>
      </c>
      <c r="E14" s="204">
        <v>1800</v>
      </c>
      <c r="F14" s="204">
        <f t="shared" si="5"/>
        <v>5657</v>
      </c>
      <c r="G14" s="204">
        <v>5297.2</v>
      </c>
      <c r="H14" s="204">
        <v>359.8</v>
      </c>
      <c r="I14" s="204">
        <f t="shared" si="6"/>
        <v>2260</v>
      </c>
      <c r="J14" s="204">
        <f t="shared" si="7"/>
        <v>9551.6643540000005</v>
      </c>
      <c r="K14" s="204">
        <f t="shared" si="8"/>
        <v>1800</v>
      </c>
      <c r="L14" s="205">
        <v>0</v>
      </c>
      <c r="M14" s="205">
        <v>614.46435399999996</v>
      </c>
      <c r="N14" s="204">
        <f t="shared" si="9"/>
        <v>7137.2</v>
      </c>
      <c r="O14" s="204">
        <f t="shared" si="10"/>
        <v>5297.2</v>
      </c>
      <c r="P14" s="205">
        <v>1840</v>
      </c>
      <c r="Q14" s="204">
        <f t="shared" si="11"/>
        <v>2260</v>
      </c>
      <c r="R14" s="204">
        <f t="shared" si="12"/>
        <v>9836.4943539999986</v>
      </c>
      <c r="S14" s="204">
        <f t="shared" si="13"/>
        <v>1800</v>
      </c>
      <c r="T14" s="205">
        <v>0</v>
      </c>
      <c r="U14" s="205">
        <v>614.46435399999996</v>
      </c>
      <c r="V14" s="204">
        <f t="shared" si="14"/>
        <v>7422.03</v>
      </c>
      <c r="W14" s="204">
        <f t="shared" si="15"/>
        <v>5297.2</v>
      </c>
      <c r="X14" s="205">
        <f>1765.03+H14</f>
        <v>2124.83</v>
      </c>
      <c r="AB14" s="7"/>
      <c r="AC14" s="7"/>
      <c r="AD14" s="20"/>
    </row>
    <row r="15" spans="1:30" s="6" customFormat="1" ht="26.1" customHeight="1" x14ac:dyDescent="0.25">
      <c r="A15" s="158">
        <v>7</v>
      </c>
      <c r="B15" s="203" t="s">
        <v>179</v>
      </c>
      <c r="C15" s="204">
        <v>2220</v>
      </c>
      <c r="D15" s="204">
        <v>6981</v>
      </c>
      <c r="E15" s="204">
        <v>1720</v>
      </c>
      <c r="F15" s="204">
        <f t="shared" si="5"/>
        <v>5261.4</v>
      </c>
      <c r="G15" s="204">
        <v>4947.7</v>
      </c>
      <c r="H15" s="204">
        <v>313.7</v>
      </c>
      <c r="I15" s="204">
        <f t="shared" si="6"/>
        <v>2220</v>
      </c>
      <c r="J15" s="204">
        <f t="shared" si="7"/>
        <v>9504.712098</v>
      </c>
      <c r="K15" s="204">
        <f t="shared" si="8"/>
        <v>1720</v>
      </c>
      <c r="L15" s="205">
        <v>208.38740999999999</v>
      </c>
      <c r="M15" s="206">
        <v>929.62468799999999</v>
      </c>
      <c r="N15" s="204">
        <f t="shared" si="9"/>
        <v>6646.7</v>
      </c>
      <c r="O15" s="204">
        <f t="shared" si="10"/>
        <v>4947.7</v>
      </c>
      <c r="P15" s="205">
        <v>1699</v>
      </c>
      <c r="Q15" s="204">
        <f t="shared" si="11"/>
        <v>2220</v>
      </c>
      <c r="R15" s="204">
        <f t="shared" si="12"/>
        <v>9748.4060979999995</v>
      </c>
      <c r="S15" s="204">
        <f t="shared" si="13"/>
        <v>1720</v>
      </c>
      <c r="T15" s="205">
        <v>208.38740999999999</v>
      </c>
      <c r="U15" s="206">
        <v>929.62468799999999</v>
      </c>
      <c r="V15" s="204">
        <f t="shared" si="14"/>
        <v>6890.3940000000002</v>
      </c>
      <c r="W15" s="204">
        <f t="shared" si="15"/>
        <v>4947.7</v>
      </c>
      <c r="X15" s="205">
        <f>1628.994+H15</f>
        <v>1942.694</v>
      </c>
      <c r="AB15" s="7"/>
      <c r="AC15" s="7"/>
      <c r="AD15" s="20"/>
    </row>
    <row r="16" spans="1:30" s="6" customFormat="1" ht="26.1" customHeight="1" x14ac:dyDescent="0.25">
      <c r="A16" s="158">
        <v>8</v>
      </c>
      <c r="B16" s="203" t="s">
        <v>180</v>
      </c>
      <c r="C16" s="204">
        <v>370</v>
      </c>
      <c r="D16" s="204">
        <v>6543</v>
      </c>
      <c r="E16" s="204">
        <v>320</v>
      </c>
      <c r="F16" s="204">
        <f t="shared" si="5"/>
        <v>6223</v>
      </c>
      <c r="G16" s="204">
        <v>6001.7</v>
      </c>
      <c r="H16" s="204">
        <v>221.3</v>
      </c>
      <c r="I16" s="204">
        <f t="shared" si="6"/>
        <v>370</v>
      </c>
      <c r="J16" s="204">
        <f t="shared" si="7"/>
        <v>8271.4042659999996</v>
      </c>
      <c r="K16" s="204">
        <f t="shared" si="8"/>
        <v>320</v>
      </c>
      <c r="L16" s="205">
        <v>103.53808100000001</v>
      </c>
      <c r="M16" s="205">
        <v>356.16618499999998</v>
      </c>
      <c r="N16" s="204">
        <f t="shared" si="9"/>
        <v>7491.7</v>
      </c>
      <c r="O16" s="204">
        <f t="shared" si="10"/>
        <v>6001.7</v>
      </c>
      <c r="P16" s="205">
        <v>1490</v>
      </c>
      <c r="Q16" s="204">
        <f t="shared" si="11"/>
        <v>370</v>
      </c>
      <c r="R16" s="204">
        <f t="shared" ref="R16:R23" si="16">V16+T16+S16+U16</f>
        <v>8562.9082660000004</v>
      </c>
      <c r="S16" s="204">
        <f t="shared" si="13"/>
        <v>320</v>
      </c>
      <c r="T16" s="205">
        <v>103.53808100000001</v>
      </c>
      <c r="U16" s="205">
        <v>356.16618499999998</v>
      </c>
      <c r="V16" s="204">
        <f t="shared" si="14"/>
        <v>7783.2039999999997</v>
      </c>
      <c r="W16" s="204">
        <f t="shared" si="15"/>
        <v>6001.7</v>
      </c>
      <c r="X16" s="205">
        <f>1560.204+H16</f>
        <v>1781.5039999999999</v>
      </c>
      <c r="AB16" s="7"/>
      <c r="AC16" s="7"/>
      <c r="AD16" s="20"/>
    </row>
    <row r="17" spans="1:30" s="6" customFormat="1" ht="26.1" customHeight="1" x14ac:dyDescent="0.25">
      <c r="A17" s="158">
        <v>9</v>
      </c>
      <c r="B17" s="203" t="s">
        <v>181</v>
      </c>
      <c r="C17" s="204">
        <v>1060</v>
      </c>
      <c r="D17" s="204">
        <v>8758</v>
      </c>
      <c r="E17" s="204">
        <v>880</v>
      </c>
      <c r="F17" s="204">
        <f t="shared" si="5"/>
        <v>7878</v>
      </c>
      <c r="G17" s="204">
        <v>7478.45</v>
      </c>
      <c r="H17" s="204">
        <v>399.55</v>
      </c>
      <c r="I17" s="204">
        <f t="shared" si="6"/>
        <v>1060</v>
      </c>
      <c r="J17" s="204">
        <f t="shared" si="7"/>
        <v>11504.782944</v>
      </c>
      <c r="K17" s="204">
        <f t="shared" si="8"/>
        <v>880</v>
      </c>
      <c r="L17" s="205">
        <v>136.15006199999999</v>
      </c>
      <c r="M17" s="205">
        <v>790.18288199999995</v>
      </c>
      <c r="N17" s="204">
        <f t="shared" si="9"/>
        <v>9698.4500000000007</v>
      </c>
      <c r="O17" s="204">
        <f t="shared" si="10"/>
        <v>7478.45</v>
      </c>
      <c r="P17" s="205">
        <v>2220</v>
      </c>
      <c r="Q17" s="204">
        <f t="shared" si="11"/>
        <v>1060</v>
      </c>
      <c r="R17" s="204">
        <f t="shared" si="16"/>
        <v>11744.619944</v>
      </c>
      <c r="S17" s="204">
        <f t="shared" si="13"/>
        <v>880</v>
      </c>
      <c r="T17" s="205">
        <v>136.15006199999999</v>
      </c>
      <c r="U17" s="205">
        <v>790.18288199999995</v>
      </c>
      <c r="V17" s="204">
        <f t="shared" si="14"/>
        <v>9938.2870000000003</v>
      </c>
      <c r="W17" s="204">
        <f t="shared" si="15"/>
        <v>7478.45</v>
      </c>
      <c r="X17" s="205">
        <f>2060.287+H17</f>
        <v>2459.837</v>
      </c>
      <c r="AB17" s="7"/>
      <c r="AC17" s="7"/>
      <c r="AD17" s="20"/>
    </row>
    <row r="18" spans="1:30" s="6" customFormat="1" ht="26.1" customHeight="1" x14ac:dyDescent="0.25">
      <c r="A18" s="158">
        <v>10</v>
      </c>
      <c r="B18" s="203" t="s">
        <v>182</v>
      </c>
      <c r="C18" s="204">
        <v>1070</v>
      </c>
      <c r="D18" s="204">
        <v>6967</v>
      </c>
      <c r="E18" s="204">
        <v>870</v>
      </c>
      <c r="F18" s="204">
        <f t="shared" si="5"/>
        <v>6097</v>
      </c>
      <c r="G18" s="204">
        <v>5813.65</v>
      </c>
      <c r="H18" s="204">
        <v>283.35000000000002</v>
      </c>
      <c r="I18" s="204">
        <f t="shared" si="6"/>
        <v>1070</v>
      </c>
      <c r="J18" s="204">
        <f t="shared" si="7"/>
        <v>9282.2432779999999</v>
      </c>
      <c r="K18" s="204">
        <f t="shared" si="8"/>
        <v>870</v>
      </c>
      <c r="L18" s="205">
        <v>0.32870500000000002</v>
      </c>
      <c r="M18" s="205">
        <v>605.26457300000004</v>
      </c>
      <c r="N18" s="204">
        <f t="shared" si="9"/>
        <v>7806.65</v>
      </c>
      <c r="O18" s="204">
        <f t="shared" si="10"/>
        <v>5813.65</v>
      </c>
      <c r="P18" s="205">
        <v>1993</v>
      </c>
      <c r="Q18" s="204">
        <f t="shared" si="11"/>
        <v>1070</v>
      </c>
      <c r="R18" s="204">
        <f t="shared" si="16"/>
        <v>9621.7822779999988</v>
      </c>
      <c r="S18" s="204">
        <f t="shared" si="13"/>
        <v>870</v>
      </c>
      <c r="T18" s="205">
        <v>0.32870500000000002</v>
      </c>
      <c r="U18" s="205">
        <v>605.26457300000004</v>
      </c>
      <c r="V18" s="204">
        <f t="shared" si="14"/>
        <v>8146.1889999999994</v>
      </c>
      <c r="W18" s="204">
        <f t="shared" si="15"/>
        <v>5813.65</v>
      </c>
      <c r="X18" s="205">
        <f>2049.189+H18</f>
        <v>2332.5389999999998</v>
      </c>
      <c r="Z18" s="15"/>
      <c r="AB18" s="7"/>
      <c r="AC18" s="7"/>
      <c r="AD18" s="20"/>
    </row>
    <row r="19" spans="1:30" s="6" customFormat="1" ht="26.1" customHeight="1" x14ac:dyDescent="0.25">
      <c r="A19" s="158">
        <v>11</v>
      </c>
      <c r="B19" s="203" t="s">
        <v>183</v>
      </c>
      <c r="C19" s="204">
        <v>800</v>
      </c>
      <c r="D19" s="204">
        <v>6198</v>
      </c>
      <c r="E19" s="204">
        <v>630</v>
      </c>
      <c r="F19" s="204">
        <f t="shared" si="5"/>
        <v>5568</v>
      </c>
      <c r="G19" s="204">
        <v>5347.9</v>
      </c>
      <c r="H19" s="204">
        <v>220.1</v>
      </c>
      <c r="I19" s="204">
        <f t="shared" si="6"/>
        <v>800</v>
      </c>
      <c r="J19" s="204">
        <f t="shared" si="7"/>
        <v>9727.8242829999981</v>
      </c>
      <c r="K19" s="204">
        <f t="shared" si="8"/>
        <v>630</v>
      </c>
      <c r="L19" s="205">
        <v>520.93176500000004</v>
      </c>
      <c r="M19" s="205">
        <v>794.99251800000002</v>
      </c>
      <c r="N19" s="204">
        <f t="shared" si="9"/>
        <v>7781.9</v>
      </c>
      <c r="O19" s="204">
        <f t="shared" si="10"/>
        <v>5347.9</v>
      </c>
      <c r="P19" s="205">
        <v>2434</v>
      </c>
      <c r="Q19" s="204">
        <f t="shared" si="11"/>
        <v>800</v>
      </c>
      <c r="R19" s="204">
        <f t="shared" si="16"/>
        <v>9996.6962829999975</v>
      </c>
      <c r="S19" s="204">
        <f t="shared" si="13"/>
        <v>630</v>
      </c>
      <c r="T19" s="205">
        <v>520.93176500000004</v>
      </c>
      <c r="U19" s="205">
        <v>794.99251800000002</v>
      </c>
      <c r="V19" s="204">
        <f t="shared" si="14"/>
        <v>8050.771999999999</v>
      </c>
      <c r="W19" s="204">
        <f t="shared" si="15"/>
        <v>5347.9</v>
      </c>
      <c r="X19" s="205">
        <f>2482.772+H19</f>
        <v>2702.8719999999998</v>
      </c>
      <c r="AB19" s="7"/>
      <c r="AC19" s="7"/>
      <c r="AD19" s="20"/>
    </row>
    <row r="20" spans="1:30" s="6" customFormat="1" ht="26.1" customHeight="1" x14ac:dyDescent="0.25">
      <c r="A20" s="158">
        <v>12</v>
      </c>
      <c r="B20" s="203" t="s">
        <v>184</v>
      </c>
      <c r="C20" s="204">
        <v>1640</v>
      </c>
      <c r="D20" s="204">
        <v>7188</v>
      </c>
      <c r="E20" s="204">
        <v>1280</v>
      </c>
      <c r="F20" s="204">
        <f t="shared" si="5"/>
        <v>5908</v>
      </c>
      <c r="G20" s="204">
        <v>5564.9</v>
      </c>
      <c r="H20" s="204">
        <v>343.1</v>
      </c>
      <c r="I20" s="204">
        <f t="shared" si="6"/>
        <v>1640</v>
      </c>
      <c r="J20" s="204">
        <f t="shared" si="7"/>
        <v>9548.5867550000003</v>
      </c>
      <c r="K20" s="204">
        <f t="shared" si="8"/>
        <v>1280</v>
      </c>
      <c r="L20" s="205">
        <v>180.59638200000001</v>
      </c>
      <c r="M20" s="205">
        <v>394.090373</v>
      </c>
      <c r="N20" s="204">
        <f t="shared" si="9"/>
        <v>7693.9</v>
      </c>
      <c r="O20" s="204">
        <f t="shared" si="10"/>
        <v>5564.9</v>
      </c>
      <c r="P20" s="205">
        <v>2129</v>
      </c>
      <c r="Q20" s="204">
        <f t="shared" si="11"/>
        <v>1640</v>
      </c>
      <c r="R20" s="204">
        <f t="shared" si="16"/>
        <v>9909.7507550000009</v>
      </c>
      <c r="S20" s="204">
        <f t="shared" si="13"/>
        <v>1280</v>
      </c>
      <c r="T20" s="205">
        <v>180.59638200000001</v>
      </c>
      <c r="U20" s="205">
        <v>394.090373</v>
      </c>
      <c r="V20" s="204">
        <f t="shared" si="14"/>
        <v>8055.0639999999994</v>
      </c>
      <c r="W20" s="204">
        <f t="shared" si="15"/>
        <v>5564.9</v>
      </c>
      <c r="X20" s="205">
        <f>2147.064+H20</f>
        <v>2490.1639999999998</v>
      </c>
      <c r="Z20" s="15"/>
      <c r="AB20" s="7"/>
      <c r="AC20" s="7"/>
      <c r="AD20" s="20"/>
    </row>
    <row r="21" spans="1:30" s="6" customFormat="1" ht="26.1" customHeight="1" x14ac:dyDescent="0.25">
      <c r="A21" s="158">
        <v>13</v>
      </c>
      <c r="B21" s="203" t="s">
        <v>185</v>
      </c>
      <c r="C21" s="204">
        <v>1410</v>
      </c>
      <c r="D21" s="204">
        <v>8944</v>
      </c>
      <c r="E21" s="204">
        <v>1140</v>
      </c>
      <c r="F21" s="204">
        <f t="shared" si="5"/>
        <v>7804</v>
      </c>
      <c r="G21" s="204">
        <v>7367.6</v>
      </c>
      <c r="H21" s="204">
        <v>436.4</v>
      </c>
      <c r="I21" s="204">
        <f t="shared" si="6"/>
        <v>1410</v>
      </c>
      <c r="J21" s="204">
        <f t="shared" si="7"/>
        <v>11992.086646</v>
      </c>
      <c r="K21" s="204">
        <f t="shared" si="8"/>
        <v>1140</v>
      </c>
      <c r="L21" s="205">
        <v>0</v>
      </c>
      <c r="M21" s="205">
        <v>828.48664599999995</v>
      </c>
      <c r="N21" s="204">
        <f t="shared" si="9"/>
        <v>10023.6</v>
      </c>
      <c r="O21" s="204">
        <f t="shared" si="10"/>
        <v>7367.6</v>
      </c>
      <c r="P21" s="205">
        <v>2656</v>
      </c>
      <c r="Q21" s="204">
        <f t="shared" si="11"/>
        <v>1410</v>
      </c>
      <c r="R21" s="204">
        <f t="shared" si="16"/>
        <v>13055.281645999999</v>
      </c>
      <c r="S21" s="204">
        <f t="shared" si="13"/>
        <v>1140</v>
      </c>
      <c r="T21" s="205">
        <v>0</v>
      </c>
      <c r="U21" s="205">
        <v>828.48664599999995</v>
      </c>
      <c r="V21" s="204">
        <f t="shared" si="14"/>
        <v>11086.795</v>
      </c>
      <c r="W21" s="204">
        <f t="shared" si="15"/>
        <v>7367.6</v>
      </c>
      <c r="X21" s="205">
        <f>3282.795+H21</f>
        <v>3719.1950000000002</v>
      </c>
      <c r="Z21" s="15"/>
      <c r="AB21" s="7"/>
      <c r="AC21" s="7"/>
      <c r="AD21" s="20"/>
    </row>
    <row r="22" spans="1:30" s="6" customFormat="1" ht="26.1" customHeight="1" x14ac:dyDescent="0.25">
      <c r="A22" s="158">
        <v>14</v>
      </c>
      <c r="B22" s="203" t="s">
        <v>186</v>
      </c>
      <c r="C22" s="204">
        <v>1590</v>
      </c>
      <c r="D22" s="204">
        <v>8320</v>
      </c>
      <c r="E22" s="204">
        <v>1370</v>
      </c>
      <c r="F22" s="204">
        <f t="shared" si="5"/>
        <v>6950</v>
      </c>
      <c r="G22" s="204">
        <v>6552.2</v>
      </c>
      <c r="H22" s="204">
        <v>397.8</v>
      </c>
      <c r="I22" s="204">
        <f t="shared" si="6"/>
        <v>1590</v>
      </c>
      <c r="J22" s="204">
        <f t="shared" si="7"/>
        <v>12611.996837000001</v>
      </c>
      <c r="K22" s="204">
        <f t="shared" si="8"/>
        <v>1370</v>
      </c>
      <c r="L22" s="205">
        <v>493.90607999999997</v>
      </c>
      <c r="M22" s="205">
        <v>847.89075700000001</v>
      </c>
      <c r="N22" s="204">
        <f t="shared" si="9"/>
        <v>9900.2000000000007</v>
      </c>
      <c r="O22" s="204">
        <f t="shared" si="10"/>
        <v>6552.2</v>
      </c>
      <c r="P22" s="205">
        <v>3348</v>
      </c>
      <c r="Q22" s="204">
        <f t="shared" si="11"/>
        <v>1590</v>
      </c>
      <c r="R22" s="204">
        <f t="shared" si="16"/>
        <v>12985.396837</v>
      </c>
      <c r="S22" s="204">
        <f t="shared" si="13"/>
        <v>1370</v>
      </c>
      <c r="T22" s="205">
        <v>493.90607999999997</v>
      </c>
      <c r="U22" s="205">
        <v>847.89075700000001</v>
      </c>
      <c r="V22" s="204">
        <f t="shared" si="14"/>
        <v>10273.6</v>
      </c>
      <c r="W22" s="204">
        <f t="shared" si="15"/>
        <v>6552.2</v>
      </c>
      <c r="X22" s="205">
        <f>3323.6+H22</f>
        <v>3721.4</v>
      </c>
      <c r="AB22" s="7"/>
      <c r="AC22" s="7"/>
      <c r="AD22" s="20"/>
    </row>
    <row r="23" spans="1:30" s="6" customFormat="1" ht="26.1" customHeight="1" x14ac:dyDescent="0.25">
      <c r="A23" s="158">
        <v>15</v>
      </c>
      <c r="B23" s="203" t="s">
        <v>187</v>
      </c>
      <c r="C23" s="204">
        <v>420</v>
      </c>
      <c r="D23" s="204">
        <v>5947</v>
      </c>
      <c r="E23" s="204">
        <v>370</v>
      </c>
      <c r="F23" s="204">
        <f t="shared" si="5"/>
        <v>5577</v>
      </c>
      <c r="G23" s="204">
        <v>5382.35</v>
      </c>
      <c r="H23" s="204">
        <v>194.65</v>
      </c>
      <c r="I23" s="204">
        <f t="shared" si="6"/>
        <v>420</v>
      </c>
      <c r="J23" s="204">
        <f t="shared" si="7"/>
        <v>8339.9194790000001</v>
      </c>
      <c r="K23" s="204">
        <f t="shared" si="8"/>
        <v>370</v>
      </c>
      <c r="L23" s="205">
        <v>258.15431999999998</v>
      </c>
      <c r="M23" s="205">
        <v>635.41515900000002</v>
      </c>
      <c r="N23" s="204">
        <f t="shared" si="9"/>
        <v>7076.35</v>
      </c>
      <c r="O23" s="204">
        <f t="shared" si="10"/>
        <v>5382.35</v>
      </c>
      <c r="P23" s="205">
        <v>1694</v>
      </c>
      <c r="Q23" s="204">
        <f t="shared" si="11"/>
        <v>420</v>
      </c>
      <c r="R23" s="204">
        <f t="shared" si="16"/>
        <v>8711.0404789999993</v>
      </c>
      <c r="S23" s="204">
        <f t="shared" si="13"/>
        <v>370</v>
      </c>
      <c r="T23" s="205">
        <v>258.15431999999998</v>
      </c>
      <c r="U23" s="205">
        <v>635.41515900000002</v>
      </c>
      <c r="V23" s="204">
        <f t="shared" si="14"/>
        <v>7447.4710000000005</v>
      </c>
      <c r="W23" s="204">
        <f t="shared" si="15"/>
        <v>5382.35</v>
      </c>
      <c r="X23" s="205">
        <f>1870.471+H23</f>
        <v>2065.1210000000001</v>
      </c>
      <c r="AB23" s="7"/>
      <c r="AC23" s="7"/>
      <c r="AD23" s="20"/>
    </row>
    <row r="25" spans="1:30" x14ac:dyDescent="0.25">
      <c r="E25" s="17"/>
      <c r="F25" s="17"/>
      <c r="G25" s="17"/>
    </row>
    <row r="26" spans="1:30" x14ac:dyDescent="0.25">
      <c r="V26" s="17"/>
    </row>
    <row r="28" spans="1:30" x14ac:dyDescent="0.25">
      <c r="V28" s="17"/>
    </row>
    <row r="30" spans="1:30" x14ac:dyDescent="0.25">
      <c r="V30" s="17"/>
    </row>
  </sheetData>
  <mergeCells count="28">
    <mergeCell ref="Q5:X5"/>
    <mergeCell ref="A5:A7"/>
    <mergeCell ref="F6:F7"/>
    <mergeCell ref="G6:H6"/>
    <mergeCell ref="I5:P5"/>
    <mergeCell ref="I6:I7"/>
    <mergeCell ref="J6:J7"/>
    <mergeCell ref="K6:K7"/>
    <mergeCell ref="L6:L7"/>
    <mergeCell ref="M6:M7"/>
    <mergeCell ref="N6:N7"/>
    <mergeCell ref="O6:P6"/>
    <mergeCell ref="V1:X1"/>
    <mergeCell ref="D6:D7"/>
    <mergeCell ref="T6:T7"/>
    <mergeCell ref="B5:B7"/>
    <mergeCell ref="V6:V7"/>
    <mergeCell ref="Q6:Q7"/>
    <mergeCell ref="R6:R7"/>
    <mergeCell ref="A2:X2"/>
    <mergeCell ref="W4:X4"/>
    <mergeCell ref="U6:U7"/>
    <mergeCell ref="W6:X6"/>
    <mergeCell ref="E6:E7"/>
    <mergeCell ref="S6:S7"/>
    <mergeCell ref="C5:H5"/>
    <mergeCell ref="A3:X3"/>
    <mergeCell ref="C6:C7"/>
  </mergeCells>
  <phoneticPr fontId="3" type="noConversion"/>
  <printOptions horizontalCentered="1"/>
  <pageMargins left="0.15748031496062992" right="0.15748031496062992" top="0.43307086614173229" bottom="0.59055118110236227" header="0.19685039370078741" footer="0.19685039370078741"/>
  <pageSetup paperSize="9" scale="53" orientation="landscape" verticalDpi="0" r:id="rId1"/>
  <headerFooter alignWithMargins="0">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21"/>
  <sheetViews>
    <sheetView workbookViewId="0">
      <selection activeCell="H4" sqref="H4"/>
    </sheetView>
  </sheetViews>
  <sheetFormatPr defaultColWidth="8.85546875" defaultRowHeight="18.75" x14ac:dyDescent="0.3"/>
  <cols>
    <col min="1" max="1" width="8.85546875" style="22"/>
    <col min="2" max="2" width="28.7109375" style="22" customWidth="1"/>
    <col min="3" max="3" width="22.28515625" style="30" customWidth="1"/>
    <col min="4" max="4" width="21.5703125" style="30" customWidth="1"/>
    <col min="5" max="5" width="19.5703125" style="30" customWidth="1"/>
    <col min="6" max="6" width="21.140625" style="30" customWidth="1"/>
    <col min="7" max="7" width="8.85546875" style="30"/>
    <col min="8" max="16384" width="8.85546875" style="22"/>
  </cols>
  <sheetData>
    <row r="3" spans="2:6" x14ac:dyDescent="0.3">
      <c r="B3" s="238" t="s">
        <v>254</v>
      </c>
      <c r="C3" s="238"/>
      <c r="D3" s="238"/>
      <c r="E3" s="238"/>
      <c r="F3" s="238"/>
    </row>
    <row r="5" spans="2:6" x14ac:dyDescent="0.3">
      <c r="B5" s="164"/>
      <c r="C5" s="36" t="s">
        <v>250</v>
      </c>
      <c r="D5" s="36" t="s">
        <v>251</v>
      </c>
      <c r="E5" s="36" t="s">
        <v>252</v>
      </c>
      <c r="F5" s="36" t="s">
        <v>253</v>
      </c>
    </row>
    <row r="6" spans="2:6" x14ac:dyDescent="0.3">
      <c r="B6" s="164" t="s">
        <v>173</v>
      </c>
      <c r="C6" s="36">
        <v>7308054804</v>
      </c>
      <c r="D6" s="36">
        <v>7308054804</v>
      </c>
      <c r="E6" s="36">
        <f>C6-D6</f>
        <v>0</v>
      </c>
      <c r="F6" s="36">
        <v>761414162</v>
      </c>
    </row>
    <row r="7" spans="2:6" x14ac:dyDescent="0.3">
      <c r="B7" s="164" t="s">
        <v>174</v>
      </c>
      <c r="C7" s="36">
        <v>6282103609</v>
      </c>
      <c r="D7" s="36">
        <v>6520775344</v>
      </c>
      <c r="E7" s="36">
        <f t="shared" ref="E7:E20" si="0">C7-D7</f>
        <v>-238671735</v>
      </c>
      <c r="F7" s="36">
        <v>210444152</v>
      </c>
    </row>
    <row r="8" spans="2:6" x14ac:dyDescent="0.3">
      <c r="B8" s="164" t="s">
        <v>175</v>
      </c>
      <c r="C8" s="36">
        <v>6591337939</v>
      </c>
      <c r="D8" s="36">
        <v>6282103609</v>
      </c>
      <c r="E8" s="36">
        <f t="shared" si="0"/>
        <v>309234330</v>
      </c>
      <c r="F8" s="36">
        <v>672959947</v>
      </c>
    </row>
    <row r="9" spans="2:6" x14ac:dyDescent="0.3">
      <c r="B9" s="164" t="s">
        <v>176</v>
      </c>
      <c r="C9" s="36">
        <v>11774503656</v>
      </c>
      <c r="D9" s="36">
        <v>11358520715</v>
      </c>
      <c r="E9" s="36">
        <f t="shared" si="0"/>
        <v>415982941</v>
      </c>
      <c r="F9" s="36">
        <v>730816338</v>
      </c>
    </row>
    <row r="10" spans="2:6" x14ac:dyDescent="0.3">
      <c r="B10" s="164" t="s">
        <v>177</v>
      </c>
      <c r="C10" s="36">
        <v>10789963993</v>
      </c>
      <c r="D10" s="36">
        <v>10665363070</v>
      </c>
      <c r="E10" s="36">
        <f t="shared" si="0"/>
        <v>124600923</v>
      </c>
      <c r="F10" s="36">
        <v>1026836497</v>
      </c>
    </row>
    <row r="11" spans="2:6" x14ac:dyDescent="0.3">
      <c r="B11" s="164" t="s">
        <v>178</v>
      </c>
      <c r="C11" s="36">
        <v>9080734116</v>
      </c>
      <c r="D11" s="36">
        <v>9080734116</v>
      </c>
      <c r="E11" s="36">
        <f t="shared" si="0"/>
        <v>0</v>
      </c>
      <c r="F11" s="36">
        <v>614464354</v>
      </c>
    </row>
    <row r="12" spans="2:6" x14ac:dyDescent="0.3">
      <c r="B12" s="164" t="s">
        <v>179</v>
      </c>
      <c r="C12" s="36">
        <v>8868946350</v>
      </c>
      <c r="D12" s="36">
        <v>8660567940</v>
      </c>
      <c r="E12" s="36">
        <f t="shared" si="0"/>
        <v>208378410</v>
      </c>
      <c r="F12" s="36">
        <v>929624688</v>
      </c>
    </row>
    <row r="13" spans="2:6" x14ac:dyDescent="0.3">
      <c r="B13" s="164" t="s">
        <v>180</v>
      </c>
      <c r="C13" s="36">
        <v>9323281885</v>
      </c>
      <c r="D13" s="36">
        <v>9219743804</v>
      </c>
      <c r="E13" s="36">
        <f t="shared" si="0"/>
        <v>103538081</v>
      </c>
      <c r="F13" s="36">
        <v>356166185</v>
      </c>
    </row>
    <row r="14" spans="2:6" x14ac:dyDescent="0.3">
      <c r="B14" s="164" t="s">
        <v>181</v>
      </c>
      <c r="C14" s="36">
        <v>11318250581</v>
      </c>
      <c r="D14" s="36">
        <v>11182100519</v>
      </c>
      <c r="E14" s="36">
        <f t="shared" si="0"/>
        <v>136150062</v>
      </c>
      <c r="F14" s="36">
        <v>790182882</v>
      </c>
    </row>
    <row r="15" spans="2:6" x14ac:dyDescent="0.3">
      <c r="B15" s="164" t="s">
        <v>182</v>
      </c>
      <c r="C15" s="36">
        <v>10051976390</v>
      </c>
      <c r="D15" s="36">
        <v>10051976390</v>
      </c>
      <c r="E15" s="36">
        <f t="shared" si="0"/>
        <v>0</v>
      </c>
      <c r="F15" s="36">
        <v>605264573</v>
      </c>
    </row>
    <row r="16" spans="2:6" x14ac:dyDescent="0.3">
      <c r="B16" s="164" t="s">
        <v>183</v>
      </c>
      <c r="C16" s="36">
        <v>9577542254</v>
      </c>
      <c r="D16" s="36">
        <v>9056610489</v>
      </c>
      <c r="E16" s="36">
        <f t="shared" si="0"/>
        <v>520931765</v>
      </c>
      <c r="F16" s="36">
        <v>794992518</v>
      </c>
    </row>
    <row r="17" spans="2:6" x14ac:dyDescent="0.3">
      <c r="B17" s="164" t="s">
        <v>184</v>
      </c>
      <c r="C17" s="36">
        <v>9353101843</v>
      </c>
      <c r="D17" s="36">
        <v>9172505461</v>
      </c>
      <c r="E17" s="36">
        <f t="shared" si="0"/>
        <v>180596382</v>
      </c>
      <c r="F17" s="36">
        <v>394090373</v>
      </c>
    </row>
    <row r="18" spans="2:6" x14ac:dyDescent="0.3">
      <c r="B18" s="164" t="s">
        <v>185</v>
      </c>
      <c r="C18" s="36">
        <v>12120321367</v>
      </c>
      <c r="D18" s="36">
        <v>12120321367</v>
      </c>
      <c r="E18" s="36">
        <f t="shared" si="0"/>
        <v>0</v>
      </c>
      <c r="F18" s="36">
        <v>828486646</v>
      </c>
    </row>
    <row r="19" spans="2:6" x14ac:dyDescent="0.3">
      <c r="B19" s="164" t="s">
        <v>186</v>
      </c>
      <c r="C19" s="36">
        <v>12895506915</v>
      </c>
      <c r="D19" s="36">
        <v>12401600835</v>
      </c>
      <c r="E19" s="36">
        <f t="shared" si="0"/>
        <v>493906080</v>
      </c>
      <c r="F19" s="36">
        <v>847890757</v>
      </c>
    </row>
    <row r="20" spans="2:6" x14ac:dyDescent="0.3">
      <c r="B20" s="164" t="s">
        <v>187</v>
      </c>
      <c r="C20" s="36">
        <v>8462343413</v>
      </c>
      <c r="D20" s="36">
        <v>8204189093</v>
      </c>
      <c r="E20" s="36">
        <f t="shared" si="0"/>
        <v>258154320</v>
      </c>
      <c r="F20" s="36">
        <v>635415159</v>
      </c>
    </row>
    <row r="21" spans="2:6" x14ac:dyDescent="0.3">
      <c r="B21" s="164"/>
      <c r="C21" s="32">
        <f>SUM(C6:C20)</f>
        <v>143797969115</v>
      </c>
      <c r="D21" s="32">
        <f t="shared" ref="D21:F21" si="1">SUM(D6:D20)</f>
        <v>141285167556</v>
      </c>
      <c r="E21" s="32">
        <f t="shared" si="1"/>
        <v>2512801559</v>
      </c>
      <c r="F21" s="32">
        <f t="shared" si="1"/>
        <v>10199049231</v>
      </c>
    </row>
  </sheetData>
  <mergeCells count="1">
    <mergeCell ref="B3:F3"/>
  </mergeCells>
  <printOptions horizontalCentered="1"/>
  <pageMargins left="0.11811023622047245" right="0.11811023622047245" top="0.55118110236220474" bottom="0.55118110236220474" header="0.31496062992125984" footer="0.31496062992125984"/>
  <pageSetup paperSize="9" scale="8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bieu 12 (PL05)</vt:lpstr>
      <vt:lpstr>bieu 19 (PL 06)</vt:lpstr>
      <vt:lpstr>bieu 13( PL 07)</vt:lpstr>
      <vt:lpstr>bieu 14(PL08)</vt:lpstr>
      <vt:lpstr>bieu 17(09)</vt:lpstr>
      <vt:lpstr>bieu tong thu(PL10)</vt:lpstr>
      <vt:lpstr>bieu xa (PL11)</vt:lpstr>
      <vt:lpstr>Sheet1</vt:lpstr>
      <vt:lpstr>'bieu 14(PL08)'!Print_Area</vt:lpstr>
      <vt:lpstr>'bieu tong thu(PL10)'!Print_Area</vt:lpstr>
      <vt:lpstr>'bieu 12 (PL05)'!Print_Titles</vt:lpstr>
      <vt:lpstr>'bieu 13( PL 07)'!Print_Titles</vt:lpstr>
      <vt:lpstr>'bieu 14(PL08)'!Print_Titles</vt:lpstr>
      <vt:lpstr>'bieu 17(09)'!Print_Titles</vt:lpstr>
      <vt:lpstr>'bieu 19 (PL 06)'!Print_Titles</vt:lpstr>
    </vt:vector>
  </TitlesOfParts>
  <Company>Ministry of Finance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Dinh Xuan Ha</dc:creator>
  <cp:lastModifiedBy>andongnhi</cp:lastModifiedBy>
  <cp:lastPrinted>2024-08-06T06:15:34Z</cp:lastPrinted>
  <dcterms:created xsi:type="dcterms:W3CDTF">2002-06-06T06:34:24Z</dcterms:created>
  <dcterms:modified xsi:type="dcterms:W3CDTF">2024-08-14T03:12:49Z</dcterms:modified>
</cp:coreProperties>
</file>